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TP_DFIN_CONTRIB_CONTA\NP-2\GECONT_DT\Dctf\NOTAS EXPLICATIVAS\Notas explicativas 2020\Transpetro\3º tri 2020\Site Externo Transpetro\"/>
    </mc:Choice>
  </mc:AlternateContent>
  <bookViews>
    <workbookView xWindow="0" yWindow="0" windowWidth="15360" windowHeight="6270"/>
  </bookViews>
  <sheets>
    <sheet name="BP" sheetId="1" r:id="rId1"/>
    <sheet name="DRE" sheetId="2" r:id="rId2"/>
    <sheet name="DRA" sheetId="3" r:id="rId3"/>
    <sheet name="DMPL" sheetId="4" r:id="rId4"/>
    <sheet name="FXC" sheetId="5" r:id="rId5"/>
    <sheet name="DVA" sheetId="6" r:id="rId6"/>
  </sheets>
  <definedNames>
    <definedName name="_xlnm.Print_Area" localSheetId="0">BP!$A$6:$O$33</definedName>
    <definedName name="_xlnm.Print_Area" localSheetId="1">DRE!$A$6:$M$38</definedName>
    <definedName name="Z_1F45792F_5EDB_436B_8787_8AFD40157E3D_.wvu.Cols" localSheetId="3" hidden="1">DMPL!$J:$K,DMPL!$P:$Q</definedName>
    <definedName name="Z_1F45792F_5EDB_436B_8787_8AFD40157E3D_.wvu.Rows" localSheetId="0" hidden="1">BP!$38:$39</definedName>
    <definedName name="Z_1F45792F_5EDB_436B_8787_8AFD40157E3D_.wvu.Rows" localSheetId="2" hidden="1">DRA!$11:$20</definedName>
    <definedName name="Z_1F45792F_5EDB_436B_8787_8AFD40157E3D_.wvu.Rows" localSheetId="1" hidden="1">DRE!$17:$17</definedName>
    <definedName name="Z_1F45792F_5EDB_436B_8787_8AFD40157E3D_.wvu.Rows" localSheetId="4" hidden="1">FXC!#REF!,FXC!$17:$17,FXC!$24:$24,FXC!$46:$46,FXC!$55:$55,FXC!$67:$70</definedName>
    <definedName name="Z_340CC7AD_CB1C_4707_AC8B_2A11A18B47DB_.wvu.Cols" localSheetId="3" hidden="1">DMPL!$J:$K,DMPL!$P:$Q</definedName>
    <definedName name="Z_340CC7AD_CB1C_4707_AC8B_2A11A18B47DB_.wvu.Cols" localSheetId="2" hidden="1">DRA!#REF!,DRA!#REF!</definedName>
    <definedName name="Z_340CC7AD_CB1C_4707_AC8B_2A11A18B47DB_.wvu.Cols" localSheetId="1" hidden="1">DRE!#REF!,DRE!#REF!</definedName>
    <definedName name="Z_340CC7AD_CB1C_4707_AC8B_2A11A18B47DB_.wvu.Rows" localSheetId="0" hidden="1">BP!$37:$37,BP!$40:$40,BP!$43:$43</definedName>
    <definedName name="Z_340CC7AD_CB1C_4707_AC8B_2A11A18B47DB_.wvu.Rows" localSheetId="3" hidden="1">DMPL!$5:$60,DMPL!$74:$74,DMPL!$95:$150</definedName>
    <definedName name="Z_340CC7AD_CB1C_4707_AC8B_2A11A18B47DB_.wvu.Rows" localSheetId="2" hidden="1">DRA!$26:$26</definedName>
    <definedName name="Z_340CC7AD_CB1C_4707_AC8B_2A11A18B47DB_.wvu.Rows" localSheetId="1" hidden="1">DRE!$33:$33</definedName>
    <definedName name="Z_340CC7AD_CB1C_4707_AC8B_2A11A18B47DB_.wvu.Rows" localSheetId="5" hidden="1">DVA!#REF!</definedName>
    <definedName name="Z_340CC7AD_CB1C_4707_AC8B_2A11A18B47DB_.wvu.Rows" localSheetId="4" hidden="1">FXC!$8:$8,FXC!#REF!,FXC!#REF!,FXC!$67:$70</definedName>
    <definedName name="Z_41D38A13_3E06_4177_A875_728B2A16C22F_.wvu.Cols" localSheetId="3" hidden="1">DMPL!$F:$G,DMPL!$J:$K,DMPL!$M:$M,DMPL!$O:$Q</definedName>
    <definedName name="Z_41D38A13_3E06_4177_A875_728B2A16C22F_.wvu.PrintArea" localSheetId="0" hidden="1">BP!$A$6:$O$33</definedName>
    <definedName name="Z_41D38A13_3E06_4177_A875_728B2A16C22F_.wvu.PrintArea" localSheetId="1" hidden="1">DRE!$A$6:$M$38</definedName>
    <definedName name="Z_41D38A13_3E06_4177_A875_728B2A16C22F_.wvu.Rows" localSheetId="3" hidden="1">DMPL!$5:$60,DMPL!$74:$74,DMPL!$95:$162,DMPL!$172:$172,DMPL!$175:$175</definedName>
    <definedName name="Z_41D38A13_3E06_4177_A875_728B2A16C22F_.wvu.Rows" localSheetId="2" hidden="1">DRA!$26:$26</definedName>
    <definedName name="Z_41D38A13_3E06_4177_A875_728B2A16C22F_.wvu.Rows" localSheetId="1" hidden="1">DRE!$17:$17</definedName>
    <definedName name="Z_41D38A13_3E06_4177_A875_728B2A16C22F_.wvu.Rows" localSheetId="5" hidden="1">DVA!$13:$13,DVA!$21:$21,DVA!$43:$43,DVA!$60:$60</definedName>
    <definedName name="Z_41D38A13_3E06_4177_A875_728B2A16C22F_.wvu.Rows" localSheetId="4" hidden="1">FXC!$8:$8,FXC!$17:$17,FXC!$24:$24,FXC!$67:$70</definedName>
    <definedName name="Z_66C5CA9A_354E_49CA_BBD9_A4D68D886C74_.wvu.Rows" localSheetId="3" hidden="1">DMPL!$6:$33,DMPL!$38:$38,DMPL!$40:$40,DMPL!$59:$59</definedName>
    <definedName name="Z_66C5CA9A_354E_49CA_BBD9_A4D68D886C74_.wvu.Rows" localSheetId="1" hidden="1">DRE!$33:$33</definedName>
    <definedName name="Z_66C5CA9A_354E_49CA_BBD9_A4D68D886C74_.wvu.Rows" localSheetId="4" hidden="1">FXC!$67:$67</definedName>
    <definedName name="Z_77EE7483_507C_4515_BE7B_C20C1BC03886_.wvu.Cols" localSheetId="3" hidden="1">DMPL!$F:$G,DMPL!$J:$K,DMPL!$M:$M,DMPL!$O:$Q</definedName>
    <definedName name="Z_77EE7483_507C_4515_BE7B_C20C1BC03886_.wvu.PrintArea" localSheetId="0" hidden="1">BP!$A$6:$O$33</definedName>
    <definedName name="Z_77EE7483_507C_4515_BE7B_C20C1BC03886_.wvu.PrintArea" localSheetId="1" hidden="1">DRE!$A$6:$M$38</definedName>
    <definedName name="Z_77EE7483_507C_4515_BE7B_C20C1BC03886_.wvu.Rows" localSheetId="3" hidden="1">DMPL!$5:$60,DMPL!$74:$74,DMPL!$95:$162,DMPL!$172:$172,DMPL!$175:$175</definedName>
    <definedName name="Z_77EE7483_507C_4515_BE7B_C20C1BC03886_.wvu.Rows" localSheetId="2" hidden="1">DRA!$26:$26</definedName>
    <definedName name="Z_77EE7483_507C_4515_BE7B_C20C1BC03886_.wvu.Rows" localSheetId="1" hidden="1">DRE!$17:$17</definedName>
    <definedName name="Z_77EE7483_507C_4515_BE7B_C20C1BC03886_.wvu.Rows" localSheetId="5" hidden="1">DVA!$13:$13,DVA!$21:$21,DVA!$43:$43,DVA!$60:$60</definedName>
    <definedName name="Z_77EE7483_507C_4515_BE7B_C20C1BC03886_.wvu.Rows" localSheetId="4" hidden="1">FXC!$8:$8,FXC!$17:$17,FXC!$24:$24,FXC!$67:$70</definedName>
    <definedName name="Z_917AE06A_AD63_446F_A84D_B6E5D6F54921_.wvu.Cols" localSheetId="3" hidden="1">DMPL!$F:$G,DMPL!$J:$K,DMPL!$M:$M,DMPL!$O:$Q</definedName>
    <definedName name="Z_917AE06A_AD63_446F_A84D_B6E5D6F54921_.wvu.PrintArea" localSheetId="0" hidden="1">BP!$A$6:$O$33</definedName>
    <definedName name="Z_917AE06A_AD63_446F_A84D_B6E5D6F54921_.wvu.PrintArea" localSheetId="1" hidden="1">DRE!$A$6:$M$38</definedName>
    <definedName name="Z_917AE06A_AD63_446F_A84D_B6E5D6F54921_.wvu.Rows" localSheetId="3" hidden="1">DMPL!$5:$60,DMPL!$74:$74,DMPL!$95:$162,DMPL!$172:$172,DMPL!$175:$175</definedName>
    <definedName name="Z_917AE06A_AD63_446F_A84D_B6E5D6F54921_.wvu.Rows" localSheetId="2" hidden="1">DRA!$26:$26</definedName>
    <definedName name="Z_917AE06A_AD63_446F_A84D_B6E5D6F54921_.wvu.Rows" localSheetId="1" hidden="1">DRE!$17:$17</definedName>
    <definedName name="Z_917AE06A_AD63_446F_A84D_B6E5D6F54921_.wvu.Rows" localSheetId="5" hidden="1">DVA!$13:$13,DVA!$21:$21,DVA!$43:$43,DVA!$60:$60</definedName>
    <definedName name="Z_917AE06A_AD63_446F_A84D_B6E5D6F54921_.wvu.Rows" localSheetId="4" hidden="1">FXC!$8:$8,FXC!$17:$17,FXC!$24:$24,FXC!$67:$70</definedName>
    <definedName name="Z_BC359AC5_08F2_43F0_9642_1073E57B1F92_.wvu.Cols" localSheetId="3" hidden="1">DMPL!$J:$K,DMPL!$P:$Q</definedName>
    <definedName name="Z_BC359AC5_08F2_43F0_9642_1073E57B1F92_.wvu.Rows" localSheetId="0" hidden="1">BP!$38:$39</definedName>
    <definedName name="Z_BC359AC5_08F2_43F0_9642_1073E57B1F92_.wvu.Rows" localSheetId="3" hidden="1">DMPL!$6:$61</definedName>
    <definedName name="Z_BC359AC5_08F2_43F0_9642_1073E57B1F92_.wvu.Rows" localSheetId="2" hidden="1">DRA!$11:$20</definedName>
    <definedName name="Z_BC359AC5_08F2_43F0_9642_1073E57B1F92_.wvu.Rows" localSheetId="1" hidden="1">DRE!$17:$17</definedName>
    <definedName name="Z_BC359AC5_08F2_43F0_9642_1073E57B1F92_.wvu.Rows" localSheetId="4" hidden="1">FXC!#REF!,FXC!$17:$17,FXC!$24:$24,FXC!$46:$46,FXC!$55:$55,FXC!$67:$70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6" l="1"/>
  <c r="E57" i="6"/>
  <c r="D57" i="6"/>
  <c r="C57" i="6"/>
  <c r="F54" i="6"/>
  <c r="E54" i="6"/>
  <c r="D54" i="6"/>
  <c r="C54" i="6"/>
  <c r="F40" i="6"/>
  <c r="F48" i="6" s="1"/>
  <c r="E40" i="6"/>
  <c r="E48" i="6" s="1"/>
  <c r="D40" i="6"/>
  <c r="D48" i="6" s="1"/>
  <c r="C40" i="6"/>
  <c r="C48" i="6" s="1"/>
  <c r="F33" i="6"/>
  <c r="E33" i="6"/>
  <c r="D33" i="6"/>
  <c r="C33" i="6"/>
  <c r="F26" i="6"/>
  <c r="E26" i="6"/>
  <c r="D26" i="6"/>
  <c r="C26" i="6"/>
  <c r="F22" i="6"/>
  <c r="E22" i="6"/>
  <c r="D22" i="6"/>
  <c r="C22" i="6"/>
  <c r="F14" i="6"/>
  <c r="E14" i="6"/>
  <c r="D14" i="6"/>
  <c r="C14" i="6"/>
  <c r="F7" i="6"/>
  <c r="E7" i="6"/>
  <c r="E63" i="5"/>
  <c r="C63" i="5"/>
  <c r="E57" i="5"/>
  <c r="C57" i="5"/>
  <c r="F54" i="5"/>
  <c r="F57" i="5" s="1"/>
  <c r="D54" i="5"/>
  <c r="D57" i="5" s="1"/>
  <c r="F48" i="5"/>
  <c r="E48" i="5"/>
  <c r="D48" i="5"/>
  <c r="C48" i="5"/>
  <c r="D39" i="5"/>
  <c r="C39" i="5"/>
  <c r="C36" i="5"/>
  <c r="F33" i="5"/>
  <c r="E33" i="5"/>
  <c r="F29" i="5"/>
  <c r="E29" i="5"/>
  <c r="E26" i="5"/>
  <c r="C26" i="5"/>
  <c r="J22" i="5"/>
  <c r="E22" i="5"/>
  <c r="I22" i="5" s="1"/>
  <c r="C22" i="5"/>
  <c r="E18" i="5"/>
  <c r="J17" i="5"/>
  <c r="I17" i="5"/>
  <c r="J15" i="5"/>
  <c r="I15" i="5"/>
  <c r="D15" i="5"/>
  <c r="C15" i="5"/>
  <c r="J14" i="5"/>
  <c r="D14" i="5"/>
  <c r="C14" i="5"/>
  <c r="F7" i="5"/>
  <c r="E7" i="5"/>
  <c r="L188" i="4"/>
  <c r="T183" i="4"/>
  <c r="V183" i="4" s="1"/>
  <c r="L181" i="4"/>
  <c r="V179" i="4"/>
  <c r="V178" i="4"/>
  <c r="V177" i="4"/>
  <c r="V176" i="4"/>
  <c r="V175" i="4"/>
  <c r="V174" i="4"/>
  <c r="V172" i="4"/>
  <c r="V171" i="4"/>
  <c r="T170" i="4"/>
  <c r="V170" i="4" s="1"/>
  <c r="U168" i="4"/>
  <c r="T168" i="4"/>
  <c r="S168" i="4"/>
  <c r="S181" i="4" s="1"/>
  <c r="S188" i="4" s="1"/>
  <c r="Q168" i="4"/>
  <c r="O168" i="4"/>
  <c r="M168" i="4"/>
  <c r="L168" i="4"/>
  <c r="K168" i="4"/>
  <c r="K181" i="4" s="1"/>
  <c r="K188" i="4" s="1"/>
  <c r="I168" i="4"/>
  <c r="G168" i="4"/>
  <c r="D168" i="4"/>
  <c r="T165" i="4"/>
  <c r="V165" i="4" s="1"/>
  <c r="U163" i="4"/>
  <c r="T163" i="4"/>
  <c r="S163" i="4"/>
  <c r="Q163" i="4"/>
  <c r="P163" i="4"/>
  <c r="P168" i="4" s="1"/>
  <c r="P181" i="4" s="1"/>
  <c r="P188" i="4" s="1"/>
  <c r="O163" i="4"/>
  <c r="N163" i="4"/>
  <c r="N168" i="4" s="1"/>
  <c r="M163" i="4"/>
  <c r="L163" i="4"/>
  <c r="K163" i="4"/>
  <c r="J163" i="4"/>
  <c r="J168" i="4" s="1"/>
  <c r="J181" i="4" s="1"/>
  <c r="J188" i="4" s="1"/>
  <c r="I163" i="4"/>
  <c r="H163" i="4"/>
  <c r="H168" i="4" s="1"/>
  <c r="H181" i="4" s="1"/>
  <c r="H188" i="4" s="1"/>
  <c r="F163" i="4"/>
  <c r="F168" i="4" s="1"/>
  <c r="F181" i="4" s="1"/>
  <c r="F188" i="4" s="1"/>
  <c r="E163" i="4"/>
  <c r="E168" i="4" s="1"/>
  <c r="D163" i="4"/>
  <c r="V161" i="4"/>
  <c r="R160" i="4"/>
  <c r="V160" i="4" s="1"/>
  <c r="H160" i="4"/>
  <c r="V159" i="4"/>
  <c r="V158" i="4"/>
  <c r="V157" i="4"/>
  <c r="V156" i="4"/>
  <c r="V155" i="4"/>
  <c r="V154" i="4"/>
  <c r="V153" i="4"/>
  <c r="V149" i="4"/>
  <c r="V148" i="4"/>
  <c r="V147" i="4"/>
  <c r="N147" i="4"/>
  <c r="L146" i="4"/>
  <c r="V146" i="4" s="1"/>
  <c r="V145" i="4"/>
  <c r="H145" i="4"/>
  <c r="V144" i="4"/>
  <c r="V143" i="4"/>
  <c r="V141" i="4"/>
  <c r="V139" i="4"/>
  <c r="V138" i="4"/>
  <c r="V79" i="4"/>
  <c r="V78" i="4"/>
  <c r="U76" i="4"/>
  <c r="S76" i="4"/>
  <c r="Q76" i="4"/>
  <c r="O76" i="4"/>
  <c r="M76" i="4"/>
  <c r="K76" i="4"/>
  <c r="I76" i="4"/>
  <c r="G76" i="4"/>
  <c r="E76" i="4"/>
  <c r="C76" i="4"/>
  <c r="B76" i="4"/>
  <c r="V74" i="4"/>
  <c r="R73" i="4"/>
  <c r="V73" i="4" s="1"/>
  <c r="R72" i="4"/>
  <c r="V72" i="4" s="1"/>
  <c r="R71" i="4"/>
  <c r="V71" i="4" s="1"/>
  <c r="V70" i="4"/>
  <c r="V69" i="4"/>
  <c r="V67" i="4"/>
  <c r="V66" i="4"/>
  <c r="V65" i="4"/>
  <c r="T62" i="4"/>
  <c r="T76" i="4" s="1"/>
  <c r="T81" i="4" s="1"/>
  <c r="R62" i="4"/>
  <c r="R76" i="4" s="1"/>
  <c r="R81" i="4" s="1"/>
  <c r="P62" i="4"/>
  <c r="P76" i="4" s="1"/>
  <c r="P81" i="4" s="1"/>
  <c r="N62" i="4"/>
  <c r="J62" i="4"/>
  <c r="J76" i="4" s="1"/>
  <c r="J81" i="4" s="1"/>
  <c r="F62" i="4"/>
  <c r="F76" i="4" s="1"/>
  <c r="F81" i="4" s="1"/>
  <c r="D62" i="4"/>
  <c r="D76" i="4" s="1"/>
  <c r="D81" i="4" s="1"/>
  <c r="V60" i="4"/>
  <c r="V59" i="4"/>
  <c r="V58" i="4"/>
  <c r="N58" i="4"/>
  <c r="V57" i="4"/>
  <c r="L57" i="4"/>
  <c r="L62" i="4" s="1"/>
  <c r="L76" i="4" s="1"/>
  <c r="L81" i="4" s="1"/>
  <c r="H56" i="4"/>
  <c r="H62" i="4" s="1"/>
  <c r="H76" i="4" s="1"/>
  <c r="H81" i="4" s="1"/>
  <c r="V55" i="4"/>
  <c r="V54" i="4"/>
  <c r="V52" i="4"/>
  <c r="V50" i="4"/>
  <c r="V49" i="4"/>
  <c r="K25" i="3"/>
  <c r="J25" i="3"/>
  <c r="I25" i="3"/>
  <c r="I32" i="3" s="1"/>
  <c r="H25" i="3"/>
  <c r="K17" i="3"/>
  <c r="K32" i="3" s="1"/>
  <c r="J17" i="3"/>
  <c r="I17" i="3"/>
  <c r="H17" i="3"/>
  <c r="G17" i="3"/>
  <c r="G32" i="3" s="1"/>
  <c r="F17" i="3"/>
  <c r="F32" i="3" s="1"/>
  <c r="E17" i="3"/>
  <c r="E32" i="3" s="1"/>
  <c r="D17" i="3"/>
  <c r="T185" i="4" s="1"/>
  <c r="V185" i="4" s="1"/>
  <c r="G7" i="3"/>
  <c r="F7" i="3"/>
  <c r="E7" i="3"/>
  <c r="D7" i="3"/>
  <c r="J31" i="2"/>
  <c r="E14" i="5" s="1"/>
  <c r="I14" i="5" s="1"/>
  <c r="N27" i="2"/>
  <c r="M19" i="2"/>
  <c r="L19" i="2"/>
  <c r="K19" i="2"/>
  <c r="J19" i="2"/>
  <c r="H19" i="2"/>
  <c r="G19" i="2"/>
  <c r="F19" i="2"/>
  <c r="E19" i="2"/>
  <c r="M11" i="2"/>
  <c r="L11" i="2"/>
  <c r="L21" i="2" s="1"/>
  <c r="L29" i="2" s="1"/>
  <c r="L34" i="2" s="1"/>
  <c r="K11" i="2"/>
  <c r="K21" i="2" s="1"/>
  <c r="K29" i="2" s="1"/>
  <c r="K34" i="2" s="1"/>
  <c r="J11" i="2"/>
  <c r="J21" i="2" s="1"/>
  <c r="J29" i="2" s="1"/>
  <c r="H11" i="2"/>
  <c r="H21" i="2" s="1"/>
  <c r="H29" i="2" s="1"/>
  <c r="H34" i="2" s="1"/>
  <c r="H36" i="2" s="1"/>
  <c r="G11" i="2"/>
  <c r="G21" i="2" s="1"/>
  <c r="G29" i="2" s="1"/>
  <c r="G34" i="2" s="1"/>
  <c r="G36" i="2" s="1"/>
  <c r="F11" i="2"/>
  <c r="F21" i="2" s="1"/>
  <c r="F29" i="2" s="1"/>
  <c r="F34" i="2" s="1"/>
  <c r="E11" i="2"/>
  <c r="E21" i="2" s="1"/>
  <c r="E29" i="2" s="1"/>
  <c r="M7" i="2"/>
  <c r="K7" i="3" s="1"/>
  <c r="L7" i="2"/>
  <c r="J7" i="3" s="1"/>
  <c r="K7" i="2"/>
  <c r="I7" i="3" s="1"/>
  <c r="J7" i="2"/>
  <c r="H7" i="3" s="1"/>
  <c r="O42" i="1"/>
  <c r="N42" i="1"/>
  <c r="M42" i="1"/>
  <c r="L42" i="1"/>
  <c r="O35" i="1"/>
  <c r="N35" i="1"/>
  <c r="M35" i="1"/>
  <c r="L35" i="1"/>
  <c r="F35" i="1"/>
  <c r="F42" i="1" s="1"/>
  <c r="E35" i="1"/>
  <c r="E42" i="1" s="1"/>
  <c r="D35" i="1"/>
  <c r="D42" i="1" s="1"/>
  <c r="G34" i="1"/>
  <c r="G33" i="1"/>
  <c r="G32" i="1"/>
  <c r="G31" i="1"/>
  <c r="G29" i="1"/>
  <c r="G35" i="1" s="1"/>
  <c r="G42" i="1" s="1"/>
  <c r="G44" i="1" s="1"/>
  <c r="C29" i="1"/>
  <c r="O20" i="1"/>
  <c r="N20" i="1"/>
  <c r="M20" i="1"/>
  <c r="L20" i="1"/>
  <c r="G20" i="1"/>
  <c r="G24" i="1" s="1"/>
  <c r="F20" i="1"/>
  <c r="F24" i="1" s="1"/>
  <c r="E20" i="1"/>
  <c r="E24" i="1" s="1"/>
  <c r="D17" i="1"/>
  <c r="D20" i="1" s="1"/>
  <c r="D24" i="1" s="1"/>
  <c r="O7" i="1"/>
  <c r="N7" i="1"/>
  <c r="M7" i="1"/>
  <c r="L7" i="1"/>
  <c r="C24" i="6" l="1"/>
  <c r="C28" i="6" s="1"/>
  <c r="C35" i="6" s="1"/>
  <c r="D24" i="6"/>
  <c r="D28" i="6" s="1"/>
  <c r="D35" i="6" s="1"/>
  <c r="E24" i="6"/>
  <c r="E28" i="6" s="1"/>
  <c r="E35" i="6" s="1"/>
  <c r="F24" i="6"/>
  <c r="F28" i="6" s="1"/>
  <c r="F35" i="6" s="1"/>
  <c r="H32" i="3"/>
  <c r="D32" i="3"/>
  <c r="J32" i="3"/>
  <c r="J34" i="2"/>
  <c r="M21" i="2"/>
  <c r="M29" i="2" s="1"/>
  <c r="M34" i="2" s="1"/>
  <c r="L44" i="1"/>
  <c r="D44" i="1"/>
  <c r="M44" i="1"/>
  <c r="M45" i="1" s="1"/>
  <c r="N44" i="1"/>
  <c r="O44" i="1"/>
  <c r="D11" i="5"/>
  <c r="F36" i="2"/>
  <c r="D59" i="6"/>
  <c r="K36" i="2"/>
  <c r="E9" i="3"/>
  <c r="G9" i="3"/>
  <c r="M36" i="2"/>
  <c r="N76" i="4"/>
  <c r="N81" i="4" s="1"/>
  <c r="O181" i="4"/>
  <c r="O188" i="4" s="1"/>
  <c r="D9" i="3"/>
  <c r="J36" i="2"/>
  <c r="E34" i="2"/>
  <c r="F9" i="3"/>
  <c r="L36" i="2"/>
  <c r="E181" i="4"/>
  <c r="E188" i="4" s="1"/>
  <c r="D181" i="4"/>
  <c r="D188" i="4" s="1"/>
  <c r="N181" i="4"/>
  <c r="M181" i="4"/>
  <c r="M188" i="4" s="1"/>
  <c r="E44" i="1"/>
  <c r="G181" i="4"/>
  <c r="G188" i="4" s="1"/>
  <c r="F44" i="1"/>
  <c r="O45" i="1"/>
  <c r="V151" i="4"/>
  <c r="V163" i="4" s="1"/>
  <c r="I181" i="4"/>
  <c r="I188" i="4" s="1"/>
  <c r="N68" i="4"/>
  <c r="V68" i="4" s="1"/>
  <c r="R163" i="4"/>
  <c r="T181" i="4"/>
  <c r="T188" i="4" s="1"/>
  <c r="V56" i="4"/>
  <c r="V62" i="4" s="1"/>
  <c r="V76" i="4" s="1"/>
  <c r="V81" i="4" s="1"/>
  <c r="F28" i="3" l="1"/>
  <c r="J9" i="3"/>
  <c r="J28" i="3" s="1"/>
  <c r="G28" i="3"/>
  <c r="K9" i="3"/>
  <c r="K28" i="3" s="1"/>
  <c r="C11" i="5"/>
  <c r="E36" i="2"/>
  <c r="C59" i="6"/>
  <c r="E28" i="3"/>
  <c r="I9" i="3"/>
  <c r="I28" i="3" s="1"/>
  <c r="R166" i="4"/>
  <c r="R168" i="4" s="1"/>
  <c r="N188" i="4"/>
  <c r="N184" i="4"/>
  <c r="V184" i="4" s="1"/>
  <c r="D61" i="6"/>
  <c r="D63" i="6" s="1"/>
  <c r="D67" i="6" s="1"/>
  <c r="F59" i="6"/>
  <c r="F61" i="6" s="1"/>
  <c r="F63" i="6" s="1"/>
  <c r="F67" i="6" s="1"/>
  <c r="H9" i="3"/>
  <c r="H28" i="3" s="1"/>
  <c r="R186" i="4"/>
  <c r="V186" i="4" s="1"/>
  <c r="D28" i="3"/>
  <c r="F11" i="5"/>
  <c r="D41" i="5"/>
  <c r="D61" i="5" s="1"/>
  <c r="D65" i="5" s="1"/>
  <c r="F41" i="5" l="1"/>
  <c r="F61" i="5" s="1"/>
  <c r="F65" i="5" s="1"/>
  <c r="J11" i="5"/>
  <c r="E11" i="5"/>
  <c r="C41" i="5"/>
  <c r="C61" i="5" s="1"/>
  <c r="C65" i="5" s="1"/>
  <c r="C61" i="6"/>
  <c r="C63" i="6" s="1"/>
  <c r="C67" i="6" s="1"/>
  <c r="E59" i="6"/>
  <c r="E61" i="6" s="1"/>
  <c r="E63" i="6" s="1"/>
  <c r="E67" i="6" s="1"/>
  <c r="R181" i="4"/>
  <c r="R188" i="4" s="1"/>
  <c r="V166" i="4"/>
  <c r="V168" i="4" s="1"/>
  <c r="R173" i="4"/>
  <c r="V173" i="4" s="1"/>
  <c r="U181" i="4" l="1"/>
  <c r="U188" i="4" s="1"/>
  <c r="V181" i="4"/>
  <c r="E41" i="5"/>
  <c r="E61" i="5" s="1"/>
  <c r="E65" i="5" s="1"/>
  <c r="I11" i="5"/>
  <c r="Q181" i="4"/>
  <c r="Q188" i="4" s="1"/>
  <c r="V188" i="4" l="1"/>
</calcChain>
</file>

<file path=xl/comments1.xml><?xml version="1.0" encoding="utf-8"?>
<comments xmlns="http://schemas.openxmlformats.org/spreadsheetml/2006/main">
  <authors>
    <author>Christiane Rezende</author>
  </authors>
  <commentList>
    <comment ref="A67" authorId="0" shapeId="0">
      <text>
        <r>
          <rPr>
            <b/>
            <sz val="9"/>
            <color indexed="81"/>
            <rFont val="Segoe UI"/>
            <family val="2"/>
          </rPr>
          <t>Christiane Rezende:</t>
        </r>
        <r>
          <rPr>
            <sz val="9"/>
            <color indexed="81"/>
            <rFont val="Segoe UI"/>
            <family val="2"/>
          </rPr>
          <t xml:space="preserve">
Dados fornecidos pelo Tributário e pelo Rodolfo
</t>
        </r>
      </text>
    </comment>
  </commentList>
</comments>
</file>

<file path=xl/sharedStrings.xml><?xml version="1.0" encoding="utf-8"?>
<sst xmlns="http://schemas.openxmlformats.org/spreadsheetml/2006/main" count="463" uniqueCount="247">
  <si>
    <t>ATIVO</t>
  </si>
  <si>
    <t>Controladora</t>
  </si>
  <si>
    <t>Consolidado</t>
  </si>
  <si>
    <t>PASSIVO</t>
  </si>
  <si>
    <t>Nota</t>
  </si>
  <si>
    <t>30.09.2020</t>
  </si>
  <si>
    <t>31.12.2019</t>
  </si>
  <si>
    <t>Circulante</t>
  </si>
  <si>
    <t>Caixa e equivalentes de caixa</t>
  </si>
  <si>
    <t>4.1</t>
  </si>
  <si>
    <t>Financiamentos</t>
  </si>
  <si>
    <t>Títulos e valores mobiliários</t>
  </si>
  <si>
    <t>4.2</t>
  </si>
  <si>
    <t>Fornecedores</t>
  </si>
  <si>
    <t>Contas a receber</t>
  </si>
  <si>
    <t>Arrendamentos mercantis</t>
  </si>
  <si>
    <t>Contas a receber de partes relacionadas</t>
  </si>
  <si>
    <t>5-6</t>
  </si>
  <si>
    <t>Contas a pagar a partes relacionadas</t>
  </si>
  <si>
    <t>Adiantamento a fornecedores</t>
  </si>
  <si>
    <t>Impostos e contribuições</t>
  </si>
  <si>
    <t>8.1</t>
  </si>
  <si>
    <t>Estoques</t>
  </si>
  <si>
    <t>Provisão Imposto de Renda e Contribuição Social</t>
  </si>
  <si>
    <t>Imposto de renda e contribuição social</t>
  </si>
  <si>
    <t>Dividendos a pagar</t>
  </si>
  <si>
    <t>19.4</t>
  </si>
  <si>
    <t>Salários, benefícios, encargos sociais e participações</t>
  </si>
  <si>
    <t>Despesas antecipadas</t>
  </si>
  <si>
    <t>Demais contas a pagar</t>
  </si>
  <si>
    <t>Demais ativos</t>
  </si>
  <si>
    <t>Receitas a apropriar</t>
  </si>
  <si>
    <t>Ativos classificados como mantidos pra venda</t>
  </si>
  <si>
    <t>Não circulante</t>
  </si>
  <si>
    <t>Realizável a longo prazo</t>
  </si>
  <si>
    <t>Provisão para processos judiciais</t>
  </si>
  <si>
    <t>14.1</t>
  </si>
  <si>
    <t>Tributos e contribuições sociais diferidos</t>
  </si>
  <si>
    <t>8.2</t>
  </si>
  <si>
    <t>Depósitos judiciais</t>
  </si>
  <si>
    <t>14.3</t>
  </si>
  <si>
    <t>Passivo atuarial</t>
  </si>
  <si>
    <t xml:space="preserve">Demais ativos </t>
  </si>
  <si>
    <t>Patrimônio líquido</t>
  </si>
  <si>
    <t>Investimentos</t>
  </si>
  <si>
    <t>Capital social realizado</t>
  </si>
  <si>
    <t>Imobilizado</t>
  </si>
  <si>
    <t>12-17-18</t>
  </si>
  <si>
    <t>Reservas de lucros</t>
  </si>
  <si>
    <t>Intangível</t>
  </si>
  <si>
    <t>Outros resultados abrangentes</t>
  </si>
  <si>
    <t>Resultado do período</t>
  </si>
  <si>
    <t>TOTAL</t>
  </si>
  <si>
    <t>As notas explicativas são parte integrante das informações contábeis intermediárias</t>
  </si>
  <si>
    <t xml:space="preserve"> </t>
  </si>
  <si>
    <t xml:space="preserve"> Nota </t>
  </si>
  <si>
    <t>01.01.2020 a
30.09.2020</t>
  </si>
  <si>
    <t>01.01.2019 a
30.09.2019</t>
  </si>
  <si>
    <t>01.07.2020 a
30.09.2020</t>
  </si>
  <si>
    <t>01.07.2019 a
30.09.2019</t>
  </si>
  <si>
    <t>Receita líquida de serviços prestados</t>
  </si>
  <si>
    <t>Custo dos serviços prestados</t>
  </si>
  <si>
    <t>Lucro bruto</t>
  </si>
  <si>
    <t>Despesas operacionais</t>
  </si>
  <si>
    <t>Vendas</t>
  </si>
  <si>
    <t>Gerais e administrativas</t>
  </si>
  <si>
    <t>Tributárias</t>
  </si>
  <si>
    <t>Perda/reversão no valor recuperável de ativos - Impairment</t>
  </si>
  <si>
    <t>15.4</t>
  </si>
  <si>
    <t>Outras receitas / (despesas) operacionais, líquidas</t>
  </si>
  <si>
    <t>21-22</t>
  </si>
  <si>
    <t>Lucro antes do resultado financeiro, participações e impostos</t>
  </si>
  <si>
    <t>Receitas financeiras</t>
  </si>
  <si>
    <t>Despesas financeiras</t>
  </si>
  <si>
    <t>Variações monetárias e cambiais, líquidas</t>
  </si>
  <si>
    <t>Resultado de equivalência patrimonial</t>
  </si>
  <si>
    <t>Lucro antes dos impostos</t>
  </si>
  <si>
    <t>Imposto de renda e contribuição social Corrente</t>
  </si>
  <si>
    <t>8.3</t>
  </si>
  <si>
    <t>Imposto de renda e contribuição social Diferido</t>
  </si>
  <si>
    <t>LUCRO LÍQUIDO DO PERÍODO</t>
  </si>
  <si>
    <t>Lucro por ação básico e diluído - R$ </t>
  </si>
  <si>
    <t>19.3</t>
  </si>
  <si>
    <t>Quantidade de lote de mil ações ao final do período</t>
  </si>
  <si>
    <t>Outros componentes do resultado abrangente:</t>
  </si>
  <si>
    <t>Itens que não serão reclassificados para o resultado:</t>
  </si>
  <si>
    <t xml:space="preserve">      Remensuração - Benefícios de planos de pensão</t>
  </si>
  <si>
    <t xml:space="preserve">     Imposto diferido</t>
  </si>
  <si>
    <t xml:space="preserve">      Remensuração - Benefícios de saúde pós-emprego</t>
  </si>
  <si>
    <t>Itens que poderão ser reclassificados para o resultado:</t>
  </si>
  <si>
    <t>Ajustes acumulados de conversão em investidas</t>
  </si>
  <si>
    <t xml:space="preserve">     Reconhecidos no Patrimônio líquido</t>
  </si>
  <si>
    <t>19.2</t>
  </si>
  <si>
    <t xml:space="preserve">      Transferidos para o resultado</t>
  </si>
  <si>
    <t>RESULTADO ABRANGENTE TOTAL</t>
  </si>
  <si>
    <t>Revisão Petros</t>
  </si>
  <si>
    <t xml:space="preserve">Revisão AMS </t>
  </si>
  <si>
    <t>Imposto diferido</t>
  </si>
  <si>
    <t>Reserva de capital</t>
  </si>
  <si>
    <t>Incentivos fiscais</t>
  </si>
  <si>
    <t>Legal</t>
  </si>
  <si>
    <t>Lucros a realizar</t>
  </si>
  <si>
    <t>Dividendo adicional proposto</t>
  </si>
  <si>
    <t>Retenção de lucros</t>
  </si>
  <si>
    <t>Lucros acumulados</t>
  </si>
  <si>
    <t>Ajustes de avaliação patrimonial</t>
  </si>
  <si>
    <t>Total</t>
  </si>
  <si>
    <r>
      <t>Em 1</t>
    </r>
    <r>
      <rPr>
        <b/>
        <u/>
        <vertAlign val="superscript"/>
        <sz val="10"/>
        <color theme="1"/>
        <rFont val="Petrobras Sans"/>
        <family val="2"/>
      </rPr>
      <t>o</t>
    </r>
    <r>
      <rPr>
        <b/>
        <sz val="10"/>
        <color theme="1"/>
        <rFont val="Petrobras Sans"/>
        <family val="2"/>
      </rPr>
      <t xml:space="preserve"> de janeiro de 2014</t>
    </r>
  </si>
  <si>
    <t xml:space="preserve">Ajustes de exercícios anteriores </t>
  </si>
  <si>
    <t>Saldo de abertura reapresentado</t>
  </si>
  <si>
    <t>Ajuste de conversão de investimento no exterior</t>
  </si>
  <si>
    <t>Mensuração passivo atuarial - Petro 2 e AMS</t>
  </si>
  <si>
    <t>Integralização de capital conf. AGE de 01 de abril 2014</t>
  </si>
  <si>
    <t>Complemento dividendo</t>
  </si>
  <si>
    <t xml:space="preserve">Lucros líquido do exercício </t>
  </si>
  <si>
    <t>Destinação do lucro</t>
  </si>
  <si>
    <t xml:space="preserve">    Reserva legal</t>
  </si>
  <si>
    <t xml:space="preserve">    Reserva de incentivos fiscais</t>
  </si>
  <si>
    <t xml:space="preserve">    Dividendos adicional proposto</t>
  </si>
  <si>
    <t xml:space="preserve">    Dividendos mínimos obrigatórios</t>
  </si>
  <si>
    <t>Saldos em 31 de dezembro de 2014</t>
  </si>
  <si>
    <t>Ajuste de exercício anterior</t>
  </si>
  <si>
    <t>2.5</t>
  </si>
  <si>
    <t>Saldos em 01 de janeiro de 2015 (reapresentado)</t>
  </si>
  <si>
    <t>Remensuração passivo atuarial - Petro 2 e AMS</t>
  </si>
  <si>
    <t>20.(c)</t>
  </si>
  <si>
    <t>Destinação do lucro:</t>
  </si>
  <si>
    <t>20.(b)</t>
  </si>
  <si>
    <t xml:space="preserve">    Juros sobre Capital Próprio </t>
  </si>
  <si>
    <t>Saldos em 31 de dezembro de 2015 (reapresentado)</t>
  </si>
  <si>
    <t>Remensuração passivo atuarial - Petros 2 e AMS</t>
  </si>
  <si>
    <t xml:space="preserve">Integralização de capital conf. AGE </t>
  </si>
  <si>
    <t>Saldos em 31 de dezembro de 2016</t>
  </si>
  <si>
    <t xml:space="preserve">    Dividendos propostos</t>
  </si>
  <si>
    <t>Saldos em 31 de  dezembro de 2017</t>
  </si>
  <si>
    <t>Mensuração passivo atuarial - Petros e AMS</t>
  </si>
  <si>
    <t>Adoção inicial IFRS9 - ativos financeiros</t>
  </si>
  <si>
    <t>Prejuízo do período</t>
  </si>
  <si>
    <t>Absorção do prejuízo:</t>
  </si>
  <si>
    <t xml:space="preserve">    Reserva de capital</t>
  </si>
  <si>
    <t>Saldos em 31 de dezembro de 2018</t>
  </si>
  <si>
    <t>Lucro líquido do período</t>
  </si>
  <si>
    <t>Saldos em 30 de junho de 2019</t>
  </si>
  <si>
    <t>As notas explicativas são parte integrante das informações contábeis intermediárias.</t>
  </si>
  <si>
    <t>Lucros/
Prejuízos acumulados</t>
  </si>
  <si>
    <t>Dividendos adicionais propostos</t>
  </si>
  <si>
    <t>Prejuízo do exercício</t>
  </si>
  <si>
    <t>Saldos em 30 de setembro de 2019</t>
  </si>
  <si>
    <t>Lucro líquido do exercício</t>
  </si>
  <si>
    <t xml:space="preserve">    Dividendos adicionais propostos</t>
  </si>
  <si>
    <t>Saldos em 31 de dezembro de 2019</t>
  </si>
  <si>
    <t>Saldos em 30 de setembro de 2020</t>
  </si>
  <si>
    <t>30.09.2019</t>
  </si>
  <si>
    <t>Fluxo de caixa das atividades operacionais</t>
  </si>
  <si>
    <t>Ajustes para:</t>
  </si>
  <si>
    <t xml:space="preserve">    Provisão para Imposto de renda e contribuição social </t>
  </si>
  <si>
    <t xml:space="preserve">    Participação em empresa controlada</t>
  </si>
  <si>
    <t xml:space="preserve">    Depreciação e amortização</t>
  </si>
  <si>
    <t xml:space="preserve">    Perda/reversão no valor de recuperação de ativos - Impairment</t>
  </si>
  <si>
    <t xml:space="preserve">    Resultado com alienação e baixas de ativos</t>
  </si>
  <si>
    <t xml:space="preserve">    Encargos financeiros sobre financiamentos e arrendamentos</t>
  </si>
  <si>
    <t xml:space="preserve">    Variações cambiais e monetárias não realizados</t>
  </si>
  <si>
    <t xml:space="preserve">    Rendimentos  títulos  e valores mobiliários</t>
  </si>
  <si>
    <t xml:space="preserve">    Imposto de renda e contribuição social diferidos, líquidos </t>
  </si>
  <si>
    <t xml:space="preserve">    Provisão para processos judiciais</t>
  </si>
  <si>
    <t xml:space="preserve"> Perdas com créditos esperadas</t>
  </si>
  <si>
    <t xml:space="preserve">    Provisão atuarial com plano de pensão e saúde</t>
  </si>
  <si>
    <t xml:space="preserve">    Outros ajustes</t>
  </si>
  <si>
    <t>Redução (aumento) nos ativos</t>
  </si>
  <si>
    <t xml:space="preserve">    Contas a receber</t>
  </si>
  <si>
    <t xml:space="preserve">    Estoques</t>
  </si>
  <si>
    <t xml:space="preserve">    Depósitos judiciais</t>
  </si>
  <si>
    <t xml:space="preserve">    Recebimentos contratos de arrendamentos mercantis </t>
  </si>
  <si>
    <t xml:space="preserve">    Outros ativos</t>
  </si>
  <si>
    <t>Aumento (redução) nos passivos</t>
  </si>
  <si>
    <t xml:space="preserve">    Fornecedores</t>
  </si>
  <si>
    <t xml:space="preserve">    Impostos, taxas e contribuições</t>
  </si>
  <si>
    <t xml:space="preserve">    Imposto de renda e contribuição social pagos</t>
  </si>
  <si>
    <t xml:space="preserve">    Outros passivos</t>
  </si>
  <si>
    <t>Recursos líquidos gerados pelas atividades operacionais</t>
  </si>
  <si>
    <t>Fluxo de caixa das atividades de investimentos</t>
  </si>
  <si>
    <t>Aquisições de ativos imobilizados e intangíveis</t>
  </si>
  <si>
    <t>Outros investimentos</t>
  </si>
  <si>
    <t>Recursos líquidos gerados / (aplicados) nas atividades de investimentos</t>
  </si>
  <si>
    <t>Fluxo de caixa das atividades de financiamentos</t>
  </si>
  <si>
    <t xml:space="preserve">    Captações</t>
  </si>
  <si>
    <t xml:space="preserve">    Amortizações de principal </t>
  </si>
  <si>
    <t xml:space="preserve">    Amortizações de juros </t>
  </si>
  <si>
    <t xml:space="preserve">    Pagamentos contratos de arrendamentos mercantis (arrendatário)</t>
  </si>
  <si>
    <t xml:space="preserve">    Dividendos pagos</t>
  </si>
  <si>
    <t>Recursos líquidos gerados / (aplicados) nas atividades de financiamentos</t>
  </si>
  <si>
    <t>Efeito de variação cambial sobre caixa e equivalentes de caixa</t>
  </si>
  <si>
    <t>Variação de caixa e equivalentes de caixa, líquidos</t>
  </si>
  <si>
    <t>Caixa e equivalentes de caixa no início do período</t>
  </si>
  <si>
    <t>.;;</t>
  </si>
  <si>
    <t>CAIXA E EQUIVALENTE DE CAIXA NO FINAL DO PERÍODO</t>
  </si>
  <si>
    <t>Transações de investimento e financiamento que não afetaram o caixa</t>
  </si>
  <si>
    <t xml:space="preserve">Ajustes líquidos - adições de imobilizado </t>
  </si>
  <si>
    <t>Baixa de gastos adicionais capitalizados indevidamente</t>
  </si>
  <si>
    <t>Receitas</t>
  </si>
  <si>
    <t>Vendas de serviços</t>
  </si>
  <si>
    <t>Outras receitas operacionais</t>
  </si>
  <si>
    <t xml:space="preserve">Receitas relacionadas a construção de ativos para uso </t>
  </si>
  <si>
    <t>(-) Provisão para perda de crédito esperada</t>
  </si>
  <si>
    <t>Insumos adquiridos de terceiros</t>
  </si>
  <si>
    <t>Serviços de terceiros</t>
  </si>
  <si>
    <t>Materiais consumidos</t>
  </si>
  <si>
    <t>Energia, serviços de terceiros e outros</t>
  </si>
  <si>
    <t>Créditos fiscais sobre materiais consumidos</t>
  </si>
  <si>
    <t>Créditos fiscais sobre energia, serviços de terceiros e outros</t>
  </si>
  <si>
    <t>Perda/reversão no valor de recuperação de ativos</t>
  </si>
  <si>
    <t>Valor adicionado bruto</t>
  </si>
  <si>
    <t>Depreciação e amortização</t>
  </si>
  <si>
    <t>x</t>
  </si>
  <si>
    <t>Valor adicionado líquido produzido pela Companhia</t>
  </si>
  <si>
    <t>Valor adicionado recebido em transferência</t>
  </si>
  <si>
    <t>Receitas financeiras e de variações monetárias e cambiais</t>
  </si>
  <si>
    <t>Valor adicionado total a distribuir</t>
  </si>
  <si>
    <t>Distribuição do valor adicionado</t>
  </si>
  <si>
    <t>Pessoal e encargos</t>
  </si>
  <si>
    <t>Participações nos lucros ou resultados</t>
  </si>
  <si>
    <t>Remuneração variável de empregado</t>
  </si>
  <si>
    <t>Mão de obra adicional</t>
  </si>
  <si>
    <t>Vantagens (alimentação, transportes e outros)</t>
  </si>
  <si>
    <t>Plano de aposentadoria e pensão</t>
  </si>
  <si>
    <t>Plano de saúde</t>
  </si>
  <si>
    <t>FGTS</t>
  </si>
  <si>
    <t>Entidades governamentais</t>
  </si>
  <si>
    <t>Impostos contribuições federais</t>
  </si>
  <si>
    <t>Impostos contribuições estaduais</t>
  </si>
  <si>
    <t>Impostos contribuições municipais</t>
  </si>
  <si>
    <t>Imposto renda e contribuição social diferido</t>
  </si>
  <si>
    <t>Instituições financeiras</t>
  </si>
  <si>
    <t>Despesas financeiras e aluguéis</t>
  </si>
  <si>
    <t>Acionistas</t>
  </si>
  <si>
    <t>Lucros retidos</t>
  </si>
  <si>
    <t>Remuneração ao acionista</t>
  </si>
  <si>
    <t>Valor adicionado distribuído</t>
  </si>
  <si>
    <t>Petrobras Transporte S.A. - Transpetro</t>
  </si>
  <si>
    <t>Empresa do Sistema Petrobras</t>
  </si>
  <si>
    <t>Balanço Patrimonial</t>
  </si>
  <si>
    <t>(Em milhares de reais, exceto se indicado de outra forma)</t>
  </si>
  <si>
    <t>Demonstração do Resultado do Exercício</t>
  </si>
  <si>
    <t>Demonstração de Resultados Abrangentes</t>
  </si>
  <si>
    <t>Demonstração das Mutações do Patrimônio Líquido</t>
  </si>
  <si>
    <t>Demonstração dos Fluxos de Caixa</t>
  </si>
  <si>
    <t>Demonstração do Valor Adicionado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</si>
</sst>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#,###,"/>
    <numFmt numFmtId="166" formatCode="_(* #,##0_);_(* \(#,##0\);_(* &quot;-&quot;??_);_(@_)"/>
    <numFmt numFmtId="167" formatCode="_(* #,###,_);_(* \(#,###,\);_(* &quot;-&quot;??_);_(@_)"/>
    <numFmt numFmtId="168" formatCode="_(* #,##0.00_);_(* \(#,##0.00\);_(* &quot;-&quot;??_);_(@_)"/>
    <numFmt numFmtId="169" formatCode="#,##0_ ;\-#,##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Petrobras Sans"/>
      <family val="2"/>
    </font>
    <font>
      <b/>
      <sz val="10"/>
      <color theme="8" tint="-0.499984740745262"/>
      <name val="Petrobras Sans"/>
      <family val="2"/>
    </font>
    <font>
      <sz val="10"/>
      <color theme="8" tint="-0.499984740745262"/>
      <name val="Petrobras Sans"/>
      <family val="2"/>
    </font>
    <font>
      <b/>
      <sz val="11"/>
      <color theme="8" tint="-0.499984740745262"/>
      <name val="Petrobras Sans"/>
      <family val="2"/>
    </font>
    <font>
      <b/>
      <sz val="10"/>
      <color rgb="FF0D0D0D"/>
      <name val="Petrobras Sans"/>
      <family val="2"/>
    </font>
    <font>
      <sz val="10"/>
      <color rgb="FFFF0000"/>
      <name val="Petrobras Sans"/>
      <family val="2"/>
    </font>
    <font>
      <sz val="10"/>
      <color rgb="FF0D0D0D"/>
      <name val="Petrobras Sans"/>
      <family val="2"/>
    </font>
    <font>
      <sz val="10"/>
      <name val="Petrobras Sans"/>
      <family val="2"/>
    </font>
    <font>
      <b/>
      <sz val="10"/>
      <color theme="1"/>
      <name val="Petrobras Sans"/>
      <family val="2"/>
    </font>
    <font>
      <b/>
      <sz val="10"/>
      <color rgb="FF002060"/>
      <name val="Petrobras Sans"/>
      <family val="2"/>
    </font>
    <font>
      <b/>
      <sz val="10"/>
      <color rgb="FFFF0000"/>
      <name val="Petrobras Sans"/>
      <family val="2"/>
    </font>
    <font>
      <b/>
      <sz val="10"/>
      <name val="Petrobras Sans"/>
      <family val="2"/>
    </font>
    <font>
      <b/>
      <sz val="10"/>
      <color theme="9" tint="-0.499984740745262"/>
      <name val="Petrobras Sans"/>
      <family val="2"/>
    </font>
    <font>
      <sz val="9"/>
      <color theme="1"/>
      <name val="Petrobras Sans"/>
      <family val="2"/>
    </font>
    <font>
      <sz val="11"/>
      <color theme="1"/>
      <name val="Petrobras Sans"/>
      <family val="2"/>
    </font>
    <font>
      <sz val="11"/>
      <color rgb="FF0D0D0D"/>
      <name val="Petrobras Sans"/>
      <family val="2"/>
    </font>
    <font>
      <sz val="10"/>
      <color theme="9" tint="-0.499984740745262"/>
      <name val="Petrobras Sans"/>
      <family val="2"/>
    </font>
    <font>
      <b/>
      <sz val="10"/>
      <color rgb="FF000000"/>
      <name val="Petrobras Sans"/>
      <family val="2"/>
    </font>
    <font>
      <sz val="10"/>
      <color rgb="FF000000"/>
      <name val="Petrobras Sans"/>
      <family val="2"/>
    </font>
    <font>
      <sz val="10"/>
      <color rgb="FF002060"/>
      <name val="Petrobras Sans"/>
      <family val="2"/>
    </font>
    <font>
      <b/>
      <u/>
      <vertAlign val="superscript"/>
      <sz val="10"/>
      <color theme="1"/>
      <name val="Petrobras Sans"/>
      <family val="2"/>
    </font>
    <font>
      <b/>
      <sz val="10"/>
      <color theme="0"/>
      <name val="Petrobras Sans"/>
      <family val="2"/>
    </font>
    <font>
      <b/>
      <sz val="12"/>
      <color theme="8" tint="-0.499984740745262"/>
      <name val="Petrobras Sans"/>
      <family val="2"/>
    </font>
    <font>
      <sz val="10"/>
      <color theme="0"/>
      <name val="Petrobras Sans"/>
      <family val="2"/>
    </font>
    <font>
      <b/>
      <i/>
      <sz val="10"/>
      <color theme="8" tint="-0.499984740745262"/>
      <name val="Petrobras Sans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u/>
      <sz val="10"/>
      <color theme="1"/>
      <name val="Petrobras Sans"/>
      <family val="2"/>
    </font>
    <font>
      <b/>
      <sz val="16"/>
      <color rgb="FF000000"/>
      <name val="Trebuchet MS"/>
      <family val="2"/>
    </font>
    <font>
      <sz val="14"/>
      <color rgb="FF000000"/>
      <name val="Trebuchet MS"/>
      <family val="2"/>
    </font>
    <font>
      <i/>
      <sz val="10"/>
      <color rgb="FF000000"/>
      <name val="Trebuchet MS"/>
      <family val="2"/>
    </font>
    <font>
      <i/>
      <sz val="9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8" tint="-0.499984740745262"/>
      </top>
      <bottom/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8" tint="-0.499984740745262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7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 applyBorder="1"/>
    <xf numFmtId="165" fontId="2" fillId="0" borderId="1" xfId="0" applyNumberFormat="1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 wrapText="1"/>
    </xf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/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64" fontId="8" fillId="0" borderId="0" xfId="3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right" vertical="center"/>
    </xf>
    <xf numFmtId="0" fontId="9" fillId="0" borderId="0" xfId="0" quotePrefix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3" fontId="2" fillId="0" borderId="0" xfId="1" applyFont="1"/>
    <xf numFmtId="2" fontId="2" fillId="0" borderId="0" xfId="0" applyNumberFormat="1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right" vertical="center"/>
    </xf>
    <xf numFmtId="164" fontId="9" fillId="0" borderId="0" xfId="3" applyNumberFormat="1" applyFont="1" applyFill="1" applyAlignment="1">
      <alignment horizontal="right" vertical="center"/>
    </xf>
    <xf numFmtId="0" fontId="2" fillId="0" borderId="0" xfId="0" applyFont="1" applyFill="1"/>
    <xf numFmtId="2" fontId="8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/>
    <xf numFmtId="0" fontId="2" fillId="0" borderId="3" xfId="0" applyFont="1" applyBorder="1"/>
    <xf numFmtId="0" fontId="2" fillId="0" borderId="3" xfId="0" applyFont="1" applyFill="1" applyBorder="1"/>
    <xf numFmtId="164" fontId="8" fillId="0" borderId="3" xfId="3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64" fontId="8" fillId="0" borderId="0" xfId="3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164" fontId="3" fillId="0" borderId="0" xfId="1" applyNumberFormat="1" applyFont="1" applyFill="1" applyBorder="1" applyAlignment="1">
      <alignment horizontal="right" vertical="center"/>
    </xf>
    <xf numFmtId="2" fontId="11" fillId="0" borderId="4" xfId="0" applyNumberFormat="1" applyFont="1" applyFill="1" applyBorder="1" applyAlignment="1"/>
    <xf numFmtId="2" fontId="10" fillId="0" borderId="4" xfId="0" applyNumberFormat="1" applyFont="1" applyFill="1" applyBorder="1" applyAlignment="1"/>
    <xf numFmtId="164" fontId="3" fillId="0" borderId="4" xfId="1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/>
    <xf numFmtId="0" fontId="2" fillId="0" borderId="0" xfId="0" applyFont="1" applyFill="1" applyBorder="1"/>
    <xf numFmtId="2" fontId="8" fillId="0" borderId="0" xfId="4" applyNumberFormat="1" applyFont="1" applyFill="1" applyAlignment="1">
      <alignment horizontal="right" vertical="center"/>
    </xf>
    <xf numFmtId="164" fontId="2" fillId="0" borderId="0" xfId="1" applyNumberFormat="1" applyFont="1"/>
    <xf numFmtId="0" fontId="11" fillId="0" borderId="4" xfId="0" applyFont="1" applyBorder="1"/>
    <xf numFmtId="0" fontId="11" fillId="0" borderId="4" xfId="0" applyFont="1" applyFill="1" applyBorder="1"/>
    <xf numFmtId="164" fontId="11" fillId="0" borderId="4" xfId="1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/>
    <xf numFmtId="0" fontId="6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2" fontId="8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9" fillId="0" borderId="0" xfId="0" quotePrefix="1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/>
    <xf numFmtId="2" fontId="6" fillId="0" borderId="0" xfId="0" applyNumberFormat="1" applyFont="1" applyFill="1" applyBorder="1" applyAlignment="1"/>
    <xf numFmtId="2" fontId="6" fillId="0" borderId="4" xfId="0" applyNumberFormat="1" applyFont="1" applyFill="1" applyBorder="1" applyAlignment="1"/>
    <xf numFmtId="164" fontId="3" fillId="0" borderId="4" xfId="4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2" fontId="8" fillId="0" borderId="0" xfId="4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2" fontId="2" fillId="0" borderId="0" xfId="4" applyNumberFormat="1" applyFont="1" applyFill="1" applyBorder="1"/>
    <xf numFmtId="164" fontId="8" fillId="0" borderId="0" xfId="5" applyNumberFormat="1" applyFont="1" applyFill="1" applyAlignment="1">
      <alignment horizontal="right" vertical="center"/>
    </xf>
    <xf numFmtId="166" fontId="8" fillId="0" borderId="0" xfId="3" applyNumberFormat="1" applyFont="1" applyFill="1" applyAlignment="1">
      <alignment horizontal="right" vertical="center"/>
    </xf>
    <xf numFmtId="2" fontId="2" fillId="0" borderId="0" xfId="0" applyNumberFormat="1" applyFont="1"/>
    <xf numFmtId="2" fontId="2" fillId="0" borderId="0" xfId="0" applyNumberFormat="1" applyFont="1" applyBorder="1"/>
    <xf numFmtId="166" fontId="8" fillId="0" borderId="0" xfId="3" applyNumberFormat="1" applyFont="1" applyFill="1" applyBorder="1" applyAlignment="1">
      <alignment horizontal="right" vertical="center"/>
    </xf>
    <xf numFmtId="164" fontId="11" fillId="0" borderId="4" xfId="4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wrapText="1"/>
    </xf>
    <xf numFmtId="0" fontId="2" fillId="0" borderId="5" xfId="0" applyFont="1" applyBorder="1"/>
    <xf numFmtId="0" fontId="2" fillId="0" borderId="5" xfId="0" applyFont="1" applyFill="1" applyBorder="1"/>
    <xf numFmtId="0" fontId="8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wrapText="1"/>
    </xf>
    <xf numFmtId="165" fontId="8" fillId="0" borderId="5" xfId="1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vertical="center"/>
    </xf>
    <xf numFmtId="0" fontId="10" fillId="3" borderId="6" xfId="0" applyFont="1" applyFill="1" applyBorder="1"/>
    <xf numFmtId="164" fontId="3" fillId="3" borderId="6" xfId="4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 wrapText="1"/>
    </xf>
    <xf numFmtId="0" fontId="2" fillId="0" borderId="7" xfId="0" applyFont="1" applyBorder="1"/>
    <xf numFmtId="0" fontId="6" fillId="0" borderId="0" xfId="0" applyFont="1" applyFill="1" applyAlignment="1">
      <alignment vertical="center" wrapText="1"/>
    </xf>
    <xf numFmtId="165" fontId="7" fillId="0" borderId="0" xfId="0" applyNumberFormat="1" applyFont="1"/>
    <xf numFmtId="164" fontId="2" fillId="0" borderId="0" xfId="0" applyNumberFormat="1" applyFont="1"/>
    <xf numFmtId="0" fontId="15" fillId="0" borderId="8" xfId="0" applyFont="1" applyBorder="1"/>
    <xf numFmtId="43" fontId="2" fillId="0" borderId="0" xfId="1" applyFont="1" applyFill="1" applyBorder="1"/>
    <xf numFmtId="164" fontId="2" fillId="0" borderId="0" xfId="0" applyNumberFormat="1" applyFont="1" applyFill="1" applyBorder="1"/>
    <xf numFmtId="0" fontId="15" fillId="0" borderId="0" xfId="0" applyFont="1"/>
    <xf numFmtId="165" fontId="2" fillId="0" borderId="0" xfId="0" applyNumberFormat="1" applyFont="1"/>
    <xf numFmtId="0" fontId="16" fillId="0" borderId="9" xfId="0" applyFont="1" applyBorder="1"/>
    <xf numFmtId="0" fontId="17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/>
    <xf numFmtId="0" fontId="2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6" fontId="8" fillId="0" borderId="0" xfId="3" applyNumberFormat="1" applyFont="1" applyFill="1" applyAlignment="1">
      <alignment vertical="center"/>
    </xf>
    <xf numFmtId="166" fontId="8" fillId="0" borderId="0" xfId="3" applyNumberFormat="1" applyFont="1" applyFill="1" applyBorder="1" applyAlignment="1">
      <alignment vertical="center"/>
    </xf>
    <xf numFmtId="167" fontId="2" fillId="0" borderId="0" xfId="0" applyNumberFormat="1" applyFont="1"/>
    <xf numFmtId="166" fontId="2" fillId="0" borderId="0" xfId="0" applyNumberFormat="1" applyFont="1"/>
    <xf numFmtId="9" fontId="2" fillId="0" borderId="0" xfId="2" applyFont="1"/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9" fillId="0" borderId="5" xfId="0" applyFont="1" applyBorder="1"/>
    <xf numFmtId="164" fontId="3" fillId="0" borderId="6" xfId="4" applyNumberFormat="1" applyFont="1" applyBorder="1" applyAlignment="1">
      <alignment vertical="center"/>
    </xf>
    <xf numFmtId="164" fontId="3" fillId="0" borderId="0" xfId="4" applyNumberFormat="1" applyFont="1" applyFill="1" applyBorder="1" applyAlignment="1">
      <alignment vertical="center"/>
    </xf>
    <xf numFmtId="0" fontId="9" fillId="0" borderId="0" xfId="0" applyFont="1"/>
    <xf numFmtId="164" fontId="8" fillId="0" borderId="0" xfId="4" applyNumberFormat="1" applyFont="1" applyBorder="1" applyAlignment="1">
      <alignment vertical="center"/>
    </xf>
    <xf numFmtId="164" fontId="8" fillId="0" borderId="0" xfId="4" applyNumberFormat="1" applyFont="1" applyFill="1" applyBorder="1" applyAlignment="1">
      <alignment vertical="center"/>
    </xf>
    <xf numFmtId="166" fontId="8" fillId="0" borderId="3" xfId="3" applyNumberFormat="1" applyFont="1" applyFill="1" applyBorder="1" applyAlignment="1">
      <alignment vertical="center"/>
    </xf>
    <xf numFmtId="166" fontId="3" fillId="0" borderId="0" xfId="4" applyNumberFormat="1" applyFont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8" fillId="0" borderId="5" xfId="4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/>
    <xf numFmtId="0" fontId="9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166" fontId="3" fillId="0" borderId="6" xfId="4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6" fontId="2" fillId="0" borderId="0" xfId="2" applyNumberFormat="1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/>
    <xf numFmtId="164" fontId="2" fillId="0" borderId="0" xfId="0" applyNumberFormat="1" applyFont="1" applyAlignment="1"/>
    <xf numFmtId="164" fontId="2" fillId="0" borderId="0" xfId="0" applyNumberFormat="1" applyFont="1" applyFill="1" applyBorder="1" applyAlignment="1"/>
    <xf numFmtId="0" fontId="4" fillId="0" borderId="6" xfId="0" applyFont="1" applyBorder="1"/>
    <xf numFmtId="164" fontId="8" fillId="0" borderId="0" xfId="6" applyNumberFormat="1" applyFont="1" applyAlignment="1">
      <alignment vertical="center"/>
    </xf>
    <xf numFmtId="164" fontId="8" fillId="0" borderId="0" xfId="6" applyNumberFormat="1" applyFont="1" applyFill="1" applyBorder="1" applyAlignment="1">
      <alignment vertical="center"/>
    </xf>
    <xf numFmtId="166" fontId="8" fillId="0" borderId="0" xfId="3" applyNumberFormat="1" applyFont="1" applyFill="1" applyAlignment="1">
      <alignment horizontal="left" vertical="center"/>
    </xf>
    <xf numFmtId="166" fontId="8" fillId="0" borderId="0" xfId="3" applyNumberFormat="1" applyFont="1" applyFill="1" applyBorder="1" applyAlignment="1">
      <alignment horizontal="left" vertical="center"/>
    </xf>
    <xf numFmtId="164" fontId="18" fillId="0" borderId="5" xfId="1" applyNumberFormat="1" applyFont="1" applyBorder="1" applyAlignment="1">
      <alignment vertical="center"/>
    </xf>
    <xf numFmtId="164" fontId="18" fillId="0" borderId="0" xfId="1" applyNumberFormat="1" applyFont="1" applyFill="1" applyBorder="1" applyAlignment="1">
      <alignment vertical="center"/>
    </xf>
    <xf numFmtId="0" fontId="2" fillId="3" borderId="6" xfId="0" applyFont="1" applyFill="1" applyBorder="1"/>
    <xf numFmtId="0" fontId="9" fillId="3" borderId="6" xfId="0" applyFont="1" applyFill="1" applyBorder="1"/>
    <xf numFmtId="166" fontId="3" fillId="3" borderId="6" xfId="1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2" fontId="8" fillId="0" borderId="0" xfId="1" applyNumberFormat="1" applyFont="1" applyAlignment="1">
      <alignment vertical="center"/>
    </xf>
    <xf numFmtId="2" fontId="8" fillId="0" borderId="0" xfId="1" applyNumberFormat="1" applyFont="1" applyFill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2" fontId="8" fillId="0" borderId="1" xfId="1" applyNumberFormat="1" applyFont="1" applyBorder="1" applyAlignment="1">
      <alignment vertical="center"/>
    </xf>
    <xf numFmtId="168" fontId="8" fillId="0" borderId="1" xfId="3" applyNumberFormat="1" applyFont="1" applyFill="1" applyBorder="1" applyAlignment="1">
      <alignment horizontal="left" vertical="center"/>
    </xf>
    <xf numFmtId="168" fontId="8" fillId="0" borderId="0" xfId="3" applyNumberFormat="1" applyFont="1" applyFill="1" applyBorder="1" applyAlignment="1">
      <alignment horizontal="left" vertical="center"/>
    </xf>
    <xf numFmtId="167" fontId="8" fillId="0" borderId="0" xfId="1" applyNumberFormat="1" applyFont="1" applyAlignment="1">
      <alignment vertical="center"/>
    </xf>
    <xf numFmtId="167" fontId="8" fillId="0" borderId="0" xfId="1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/>
    <xf numFmtId="43" fontId="7" fillId="0" borderId="0" xfId="1" applyFont="1"/>
    <xf numFmtId="43" fontId="7" fillId="0" borderId="0" xfId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3" borderId="0" xfId="0" applyFont="1" applyFill="1"/>
    <xf numFmtId="166" fontId="3" fillId="3" borderId="0" xfId="0" applyNumberFormat="1" applyFont="1" applyFill="1" applyAlignment="1">
      <alignment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66" fontId="11" fillId="0" borderId="5" xfId="0" applyNumberFormat="1" applyFont="1" applyBorder="1" applyAlignment="1">
      <alignment vertical="center"/>
    </xf>
    <xf numFmtId="166" fontId="6" fillId="0" borderId="5" xfId="0" applyNumberFormat="1" applyFont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8" fillId="0" borderId="3" xfId="0" applyNumberFormat="1" applyFont="1" applyBorder="1" applyAlignment="1">
      <alignment vertical="center" wrapText="1"/>
    </xf>
    <xf numFmtId="166" fontId="8" fillId="0" borderId="3" xfId="0" applyNumberFormat="1" applyFont="1" applyBorder="1" applyAlignment="1">
      <alignment vertical="center"/>
    </xf>
    <xf numFmtId="166" fontId="8" fillId="3" borderId="0" xfId="0" applyNumberFormat="1" applyFont="1" applyFill="1" applyAlignment="1">
      <alignment vertical="center" wrapText="1"/>
    </xf>
    <xf numFmtId="166" fontId="20" fillId="3" borderId="0" xfId="0" applyNumberFormat="1" applyFont="1" applyFill="1" applyAlignment="1">
      <alignment horizontal="right" vertical="center"/>
    </xf>
    <xf numFmtId="166" fontId="8" fillId="0" borderId="0" xfId="0" applyNumberFormat="1" applyFont="1" applyAlignment="1">
      <alignment vertical="center" wrapText="1"/>
    </xf>
    <xf numFmtId="166" fontId="13" fillId="0" borderId="0" xfId="0" applyNumberFormat="1" applyFont="1" applyAlignment="1">
      <alignment vertical="center"/>
    </xf>
    <xf numFmtId="17" fontId="9" fillId="0" borderId="0" xfId="0" quotePrefix="1" applyNumberFormat="1" applyFont="1" applyFill="1" applyAlignment="1">
      <alignment horizontal="right" vertical="center"/>
    </xf>
    <xf numFmtId="166" fontId="9" fillId="0" borderId="0" xfId="0" applyNumberFormat="1" applyFont="1" applyAlignment="1">
      <alignment vertical="center" wrapText="1"/>
    </xf>
    <xf numFmtId="166" fontId="8" fillId="0" borderId="0" xfId="0" applyNumberFormat="1" applyFont="1" applyBorder="1" applyAlignment="1">
      <alignment vertical="center"/>
    </xf>
    <xf numFmtId="166" fontId="8" fillId="0" borderId="5" xfId="0" applyNumberFormat="1" applyFont="1" applyBorder="1" applyAlignment="1">
      <alignment vertical="center"/>
    </xf>
    <xf numFmtId="166" fontId="8" fillId="0" borderId="5" xfId="0" applyNumberFormat="1" applyFont="1" applyFill="1" applyBorder="1" applyAlignment="1">
      <alignment vertical="center"/>
    </xf>
    <xf numFmtId="166" fontId="14" fillId="3" borderId="6" xfId="0" applyNumberFormat="1" applyFont="1" applyFill="1" applyBorder="1" applyAlignment="1">
      <alignment vertical="center"/>
    </xf>
    <xf numFmtId="166" fontId="6" fillId="3" borderId="6" xfId="0" applyNumberFormat="1" applyFont="1" applyFill="1" applyBorder="1" applyAlignment="1">
      <alignment vertical="center"/>
    </xf>
    <xf numFmtId="166" fontId="3" fillId="3" borderId="6" xfId="0" applyNumberFormat="1" applyFont="1" applyFill="1" applyBorder="1" applyAlignment="1">
      <alignment horizontal="right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3" fontId="2" fillId="0" borderId="0" xfId="0" applyNumberFormat="1" applyFont="1"/>
    <xf numFmtId="0" fontId="2" fillId="0" borderId="14" xfId="0" applyFont="1" applyBorder="1"/>
    <xf numFmtId="0" fontId="2" fillId="0" borderId="15" xfId="0" applyFont="1" applyBorder="1"/>
    <xf numFmtId="0" fontId="5" fillId="0" borderId="0" xfId="0" applyFont="1" applyBorder="1" applyAlignment="1">
      <alignment horizontal="right" vertical="center"/>
    </xf>
    <xf numFmtId="0" fontId="10" fillId="3" borderId="0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21" fillId="0" borderId="0" xfId="0" applyFont="1"/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166" fontId="6" fillId="0" borderId="0" xfId="0" applyNumberFormat="1" applyFont="1" applyAlignment="1">
      <alignment horizontal="right" vertical="center"/>
    </xf>
    <xf numFmtId="166" fontId="6" fillId="0" borderId="0" xfId="1" applyNumberFormat="1" applyFont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/>
    </xf>
    <xf numFmtId="0" fontId="10" fillId="0" borderId="0" xfId="0" applyFont="1" applyFill="1"/>
    <xf numFmtId="166" fontId="8" fillId="0" borderId="0" xfId="1" applyNumberFormat="1" applyFont="1" applyAlignment="1">
      <alignment horizontal="right" vertical="center"/>
    </xf>
    <xf numFmtId="166" fontId="8" fillId="0" borderId="0" xfId="1" applyNumberFormat="1" applyFont="1" applyAlignment="1">
      <alignment vertical="center"/>
    </xf>
    <xf numFmtId="166" fontId="8" fillId="0" borderId="0" xfId="1" applyNumberFormat="1" applyFont="1" applyBorder="1" applyAlignment="1">
      <alignment horizontal="right" vertical="center"/>
    </xf>
    <xf numFmtId="166" fontId="8" fillId="0" borderId="0" xfId="1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66" fontId="6" fillId="0" borderId="0" xfId="1" applyNumberFormat="1" applyFont="1" applyBorder="1" applyAlignment="1">
      <alignment horizontal="right" vertical="center"/>
    </xf>
    <xf numFmtId="166" fontId="6" fillId="0" borderId="16" xfId="0" applyNumberFormat="1" applyFont="1" applyBorder="1" applyAlignment="1">
      <alignment vertical="center"/>
    </xf>
    <xf numFmtId="166" fontId="6" fillId="0" borderId="0" xfId="0" applyNumberFormat="1" applyFont="1" applyFill="1" applyAlignment="1">
      <alignment horizontal="right" vertical="center"/>
    </xf>
    <xf numFmtId="166" fontId="8" fillId="0" borderId="17" xfId="0" applyNumberFormat="1" applyFont="1" applyBorder="1" applyAlignment="1">
      <alignment horizontal="right" vertical="center"/>
    </xf>
    <xf numFmtId="166" fontId="8" fillId="0" borderId="17" xfId="0" applyNumberFormat="1" applyFont="1" applyBorder="1" applyAlignment="1">
      <alignment vertical="center"/>
    </xf>
    <xf numFmtId="164" fontId="6" fillId="0" borderId="16" xfId="1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66" fontId="8" fillId="0" borderId="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vertical="center" wrapText="1"/>
    </xf>
    <xf numFmtId="166" fontId="6" fillId="0" borderId="15" xfId="0" applyNumberFormat="1" applyFont="1" applyBorder="1" applyAlignment="1">
      <alignment vertical="center"/>
    </xf>
    <xf numFmtId="166" fontId="6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166" fontId="6" fillId="0" borderId="0" xfId="0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vertical="center" wrapText="1"/>
    </xf>
    <xf numFmtId="166" fontId="6" fillId="0" borderId="13" xfId="0" applyNumberFormat="1" applyFont="1" applyBorder="1" applyAlignment="1">
      <alignment vertical="center"/>
    </xf>
    <xf numFmtId="166" fontId="6" fillId="0" borderId="13" xfId="0" applyNumberFormat="1" applyFont="1" applyBorder="1" applyAlignment="1">
      <alignment horizontal="right" vertical="center"/>
    </xf>
    <xf numFmtId="0" fontId="15" fillId="0" borderId="12" xfId="0" applyFont="1" applyBorder="1"/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/>
    <xf numFmtId="4" fontId="2" fillId="0" borderId="0" xfId="0" applyNumberFormat="1" applyFont="1"/>
    <xf numFmtId="0" fontId="9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/>
    </xf>
    <xf numFmtId="164" fontId="3" fillId="0" borderId="15" xfId="1" applyNumberFormat="1" applyFont="1" applyBorder="1" applyAlignment="1">
      <alignment vertical="center"/>
    </xf>
    <xf numFmtId="43" fontId="3" fillId="0" borderId="15" xfId="1" applyFont="1" applyBorder="1" applyAlignment="1">
      <alignment vertical="center"/>
    </xf>
    <xf numFmtId="0" fontId="2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6" fontId="3" fillId="0" borderId="0" xfId="0" applyNumberFormat="1" applyFont="1"/>
    <xf numFmtId="0" fontId="2" fillId="0" borderId="0" xfId="1" applyNumberFormat="1" applyFont="1"/>
    <xf numFmtId="0" fontId="25" fillId="0" borderId="0" xfId="0" applyFont="1"/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6" fontId="2" fillId="0" borderId="0" xfId="0" applyNumberFormat="1" applyFont="1" applyFill="1" applyAlignment="1">
      <alignment horizontal="left"/>
    </xf>
    <xf numFmtId="0" fontId="23" fillId="0" borderId="0" xfId="0" applyFont="1"/>
    <xf numFmtId="166" fontId="9" fillId="0" borderId="0" xfId="0" applyNumberFormat="1" applyFont="1" applyFill="1" applyAlignment="1">
      <alignment horizontal="left"/>
    </xf>
    <xf numFmtId="166" fontId="2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 indent="1"/>
    </xf>
    <xf numFmtId="166" fontId="9" fillId="0" borderId="0" xfId="0" applyNumberFormat="1" applyFont="1" applyAlignment="1">
      <alignment horizontal="left"/>
    </xf>
    <xf numFmtId="0" fontId="26" fillId="0" borderId="0" xfId="0" applyFont="1"/>
    <xf numFmtId="166" fontId="2" fillId="0" borderId="0" xfId="1" applyNumberFormat="1" applyFont="1"/>
    <xf numFmtId="0" fontId="2" fillId="0" borderId="0" xfId="1" applyNumberFormat="1" applyFont="1" applyFill="1"/>
    <xf numFmtId="166" fontId="8" fillId="0" borderId="0" xfId="4" applyNumberFormat="1" applyFont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2" fillId="0" borderId="4" xfId="0" applyFont="1" applyFill="1" applyBorder="1"/>
    <xf numFmtId="164" fontId="3" fillId="0" borderId="4" xfId="0" applyNumberFormat="1" applyFont="1" applyBorder="1" applyAlignment="1">
      <alignment horizontal="right"/>
    </xf>
    <xf numFmtId="167" fontId="8" fillId="0" borderId="0" xfId="1" applyNumberFormat="1" applyFont="1" applyAlignment="1">
      <alignment horizontal="right" vertical="center"/>
    </xf>
    <xf numFmtId="167" fontId="8" fillId="0" borderId="0" xfId="1" applyNumberFormat="1" applyFont="1" applyBorder="1" applyAlignment="1">
      <alignment horizontal="right" vertical="center"/>
    </xf>
    <xf numFmtId="167" fontId="8" fillId="0" borderId="0" xfId="1" applyNumberFormat="1" applyFont="1" applyBorder="1" applyAlignment="1">
      <alignment vertical="center"/>
    </xf>
    <xf numFmtId="166" fontId="3" fillId="0" borderId="4" xfId="0" applyNumberFormat="1" applyFont="1" applyBorder="1"/>
    <xf numFmtId="167" fontId="8" fillId="0" borderId="0" xfId="4" applyNumberFormat="1" applyFont="1" applyAlignment="1">
      <alignment horizontal="right" vertical="center"/>
    </xf>
    <xf numFmtId="0" fontId="8" fillId="0" borderId="0" xfId="0" applyFont="1" applyAlignment="1"/>
    <xf numFmtId="0" fontId="14" fillId="4" borderId="4" xfId="0" applyFont="1" applyFill="1" applyBorder="1" applyAlignment="1">
      <alignment vertical="center"/>
    </xf>
    <xf numFmtId="0" fontId="2" fillId="4" borderId="4" xfId="0" applyFont="1" applyFill="1" applyBorder="1"/>
    <xf numFmtId="164" fontId="3" fillId="4" borderId="4" xfId="1" applyNumberFormat="1" applyFont="1" applyFill="1" applyBorder="1" applyAlignment="1">
      <alignment horizontal="right" vertical="center"/>
    </xf>
    <xf numFmtId="169" fontId="8" fillId="0" borderId="0" xfId="1" applyNumberFormat="1" applyFont="1" applyAlignment="1">
      <alignment horizontal="right" vertical="center"/>
    </xf>
    <xf numFmtId="169" fontId="2" fillId="0" borderId="0" xfId="0" applyNumberFormat="1" applyFont="1"/>
    <xf numFmtId="43" fontId="2" fillId="0" borderId="0" xfId="0" applyNumberFormat="1" applyFont="1"/>
    <xf numFmtId="0" fontId="8" fillId="3" borderId="0" xfId="0" applyFont="1" applyFill="1" applyAlignment="1">
      <alignment vertical="center"/>
    </xf>
    <xf numFmtId="0" fontId="2" fillId="3" borderId="0" xfId="0" applyFont="1" applyFill="1"/>
    <xf numFmtId="164" fontId="9" fillId="3" borderId="0" xfId="1" applyNumberFormat="1" applyFont="1" applyFill="1" applyAlignment="1">
      <alignment horizontal="right" vertical="center"/>
    </xf>
    <xf numFmtId="165" fontId="2" fillId="0" borderId="0" xfId="1" applyNumberFormat="1" applyFont="1"/>
    <xf numFmtId="169" fontId="2" fillId="0" borderId="13" xfId="1" applyNumberFormat="1" applyFont="1" applyBorder="1"/>
    <xf numFmtId="0" fontId="2" fillId="0" borderId="0" xfId="0" applyFont="1" applyAlignment="1">
      <alignment horizontal="center"/>
    </xf>
    <xf numFmtId="0" fontId="25" fillId="0" borderId="1" xfId="0" applyFont="1" applyBorder="1"/>
    <xf numFmtId="0" fontId="8" fillId="5" borderId="1" xfId="0" applyFont="1" applyFill="1" applyBorder="1" applyAlignment="1">
      <alignment vertical="center"/>
    </xf>
    <xf numFmtId="166" fontId="8" fillId="0" borderId="3" xfId="4" applyNumberFormat="1" applyFont="1" applyBorder="1" applyAlignment="1">
      <alignment horizontal="right" vertical="center"/>
    </xf>
    <xf numFmtId="166" fontId="8" fillId="0" borderId="1" xfId="4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center"/>
    </xf>
    <xf numFmtId="166" fontId="3" fillId="0" borderId="0" xfId="4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horizontal="center"/>
    </xf>
    <xf numFmtId="0" fontId="8" fillId="0" borderId="1" xfId="0" applyFont="1" applyBorder="1" applyAlignment="1">
      <alignment vertical="center"/>
    </xf>
    <xf numFmtId="166" fontId="8" fillId="0" borderId="1" xfId="4" applyNumberFormat="1" applyFont="1" applyBorder="1" applyAlignment="1">
      <alignment horizontal="right" vertical="center"/>
    </xf>
    <xf numFmtId="166" fontId="3" fillId="0" borderId="15" xfId="4" applyNumberFormat="1" applyFont="1" applyBorder="1" applyAlignment="1">
      <alignment horizontal="right" vertical="center"/>
    </xf>
    <xf numFmtId="166" fontId="8" fillId="0" borderId="0" xfId="4" applyNumberFormat="1" applyFont="1" applyBorder="1" applyAlignment="1">
      <alignment horizontal="right" vertical="center"/>
    </xf>
    <xf numFmtId="166" fontId="8" fillId="0" borderId="0" xfId="4" applyNumberFormat="1" applyFont="1" applyFill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166" fontId="8" fillId="0" borderId="3" xfId="4" applyNumberFormat="1" applyFont="1" applyFill="1" applyBorder="1" applyAlignment="1">
      <alignment horizontal="right" vertical="center"/>
    </xf>
    <xf numFmtId="0" fontId="14" fillId="3" borderId="15" xfId="0" applyFont="1" applyFill="1" applyBorder="1" applyAlignment="1"/>
    <xf numFmtId="0" fontId="2" fillId="3" borderId="15" xfId="0" applyFont="1" applyFill="1" applyBorder="1"/>
    <xf numFmtId="166" fontId="3" fillId="3" borderId="15" xfId="4" applyNumberFormat="1" applyFont="1" applyFill="1" applyBorder="1" applyAlignment="1">
      <alignment horizontal="right"/>
    </xf>
    <xf numFmtId="166" fontId="3" fillId="3" borderId="18" xfId="4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0" fontId="8" fillId="0" borderId="1" xfId="0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/>
    </xf>
    <xf numFmtId="0" fontId="14" fillId="3" borderId="15" xfId="0" applyFont="1" applyFill="1" applyBorder="1" applyAlignment="1">
      <alignment vertical="center"/>
    </xf>
    <xf numFmtId="0" fontId="7" fillId="0" borderId="13" xfId="1" applyNumberFormat="1" applyFont="1" applyBorder="1"/>
    <xf numFmtId="0" fontId="15" fillId="0" borderId="12" xfId="0" applyNumberFormat="1" applyFont="1" applyBorder="1"/>
    <xf numFmtId="0" fontId="15" fillId="0" borderId="0" xfId="0" applyFont="1" applyAlignment="1">
      <alignment horizontal="center"/>
    </xf>
    <xf numFmtId="164" fontId="15" fillId="0" borderId="0" xfId="0" applyNumberFormat="1" applyFont="1"/>
    <xf numFmtId="0" fontId="2" fillId="0" borderId="0" xfId="0" applyNumberFormat="1" applyFont="1"/>
    <xf numFmtId="0" fontId="30" fillId="0" borderId="0" xfId="0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3" fillId="0" borderId="19" xfId="0" applyFont="1" applyBorder="1"/>
    <xf numFmtId="0" fontId="32" fillId="0" borderId="0" xfId="0" applyFont="1" applyBorder="1"/>
    <xf numFmtId="0" fontId="33" fillId="0" borderId="0" xfId="0" applyFont="1" applyBorder="1"/>
  </cellXfs>
  <cellStyles count="7">
    <cellStyle name="Normal" xfId="0" builtinId="0"/>
    <cellStyle name="Porcentagem" xfId="2" builtinId="5"/>
    <cellStyle name="Vírgula" xfId="1" builtinId="3"/>
    <cellStyle name="Vírgula 2 4" xfId="4"/>
    <cellStyle name="Vírgula 2 4 2 2" xfId="6"/>
    <cellStyle name="Vírgula 6" xfId="3"/>
    <cellStyle name="Vírgula 6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74"/>
  <sheetViews>
    <sheetView showGridLines="0" tabSelected="1" zoomScaleNormal="100" workbookViewId="0">
      <selection activeCell="L1" sqref="L1"/>
    </sheetView>
  </sheetViews>
  <sheetFormatPr defaultColWidth="9.140625" defaultRowHeight="12.75" x14ac:dyDescent="0.2"/>
  <cols>
    <col min="1" max="1" width="2.140625" style="4" customWidth="1"/>
    <col min="2" max="2" width="38.85546875" style="4" bestFit="1" customWidth="1"/>
    <col min="3" max="3" width="8.7109375" style="4" bestFit="1" customWidth="1"/>
    <col min="4" max="7" width="11.42578125" style="4" customWidth="1"/>
    <col min="8" max="8" width="0.5703125" style="4" customWidth="1"/>
    <col min="9" max="9" width="2.140625" style="4" customWidth="1"/>
    <col min="10" max="10" width="46" style="4" bestFit="1" customWidth="1"/>
    <col min="11" max="11" width="5" style="4" bestFit="1" customWidth="1"/>
    <col min="12" max="12" width="11.5703125" style="4" bestFit="1" customWidth="1"/>
    <col min="13" max="14" width="11.42578125" style="4" customWidth="1"/>
    <col min="15" max="15" width="12.85546875" style="4" customWidth="1"/>
    <col min="16" max="16" width="14.140625" style="4" bestFit="1" customWidth="1"/>
    <col min="17" max="16384" width="9.140625" style="4"/>
  </cols>
  <sheetData>
    <row r="1" spans="1:16" ht="21" x14ac:dyDescent="0.35">
      <c r="A1" s="351" t="s">
        <v>238</v>
      </c>
    </row>
    <row r="2" spans="1:16" ht="21" x14ac:dyDescent="0.35">
      <c r="A2" s="351" t="s">
        <v>239</v>
      </c>
    </row>
    <row r="3" spans="1:16" ht="18.75" x14ac:dyDescent="0.3">
      <c r="A3" s="352" t="s">
        <v>240</v>
      </c>
    </row>
    <row r="4" spans="1:16" ht="15" x14ac:dyDescent="0.3">
      <c r="A4" s="353" t="s">
        <v>241</v>
      </c>
    </row>
    <row r="5" spans="1:16" x14ac:dyDescent="0.2">
      <c r="A5" s="1"/>
      <c r="B5" s="1"/>
      <c r="C5" s="1"/>
      <c r="D5" s="1"/>
      <c r="E5" s="2"/>
      <c r="F5" s="2"/>
      <c r="G5" s="3"/>
      <c r="J5" s="5"/>
      <c r="K5" s="1"/>
      <c r="L5" s="1"/>
      <c r="M5" s="6"/>
      <c r="N5" s="1"/>
      <c r="O5" s="6"/>
    </row>
    <row r="6" spans="1:16" ht="15.75" customHeight="1" x14ac:dyDescent="0.2">
      <c r="A6" s="7" t="s">
        <v>0</v>
      </c>
      <c r="B6" s="8"/>
      <c r="C6" s="9"/>
      <c r="D6" s="10"/>
      <c r="E6" s="11" t="s">
        <v>1</v>
      </c>
      <c r="F6" s="10"/>
      <c r="G6" s="12" t="s">
        <v>2</v>
      </c>
      <c r="H6" s="13"/>
      <c r="I6" s="14" t="s">
        <v>3</v>
      </c>
      <c r="J6" s="15"/>
      <c r="K6" s="9"/>
      <c r="L6" s="10"/>
      <c r="M6" s="11" t="s">
        <v>1</v>
      </c>
      <c r="N6" s="10"/>
      <c r="O6" s="11" t="s">
        <v>2</v>
      </c>
    </row>
    <row r="7" spans="1:16" x14ac:dyDescent="0.2">
      <c r="A7" s="16"/>
      <c r="B7" s="17"/>
      <c r="C7" s="18" t="s">
        <v>4</v>
      </c>
      <c r="D7" s="18" t="s">
        <v>5</v>
      </c>
      <c r="E7" s="19" t="s">
        <v>6</v>
      </c>
      <c r="F7" s="18" t="s">
        <v>5</v>
      </c>
      <c r="G7" s="19" t="s">
        <v>6</v>
      </c>
      <c r="H7" s="20"/>
      <c r="I7" s="21"/>
      <c r="J7" s="22"/>
      <c r="K7" s="23" t="s">
        <v>4</v>
      </c>
      <c r="L7" s="18" t="str">
        <f>D7</f>
        <v>30.09.2020</v>
      </c>
      <c r="M7" s="19" t="str">
        <f>E7</f>
        <v>31.12.2019</v>
      </c>
      <c r="N7" s="18" t="str">
        <f>F7</f>
        <v>30.09.2020</v>
      </c>
      <c r="O7" s="19" t="str">
        <f>G7</f>
        <v>31.12.2019</v>
      </c>
    </row>
    <row r="8" spans="1:16" ht="9.75" customHeight="1" x14ac:dyDescent="0.2">
      <c r="E8" s="24"/>
      <c r="G8" s="24"/>
      <c r="H8" s="25"/>
      <c r="I8" s="25"/>
      <c r="J8" s="26"/>
      <c r="K8" s="26"/>
      <c r="M8" s="24"/>
      <c r="O8" s="24"/>
    </row>
    <row r="9" spans="1:16" ht="12.75" customHeight="1" x14ac:dyDescent="0.2">
      <c r="A9" s="27" t="s">
        <v>7</v>
      </c>
      <c r="C9" s="28"/>
      <c r="H9" s="29"/>
      <c r="I9" s="30" t="s">
        <v>7</v>
      </c>
      <c r="K9" s="31"/>
      <c r="M9" s="26"/>
      <c r="O9" s="26"/>
    </row>
    <row r="10" spans="1:16" ht="12" customHeight="1" x14ac:dyDescent="0.2">
      <c r="B10" s="32" t="s">
        <v>8</v>
      </c>
      <c r="C10" s="33" t="s">
        <v>9</v>
      </c>
      <c r="D10" s="34">
        <v>99574</v>
      </c>
      <c r="E10" s="34">
        <v>102117</v>
      </c>
      <c r="F10" s="34">
        <v>1594900</v>
      </c>
      <c r="G10" s="34">
        <v>988690</v>
      </c>
      <c r="H10" s="35"/>
      <c r="I10" s="35"/>
      <c r="J10" s="35" t="s">
        <v>10</v>
      </c>
      <c r="K10" s="33">
        <v>17</v>
      </c>
      <c r="L10" s="34">
        <v>324205</v>
      </c>
      <c r="M10" s="34">
        <v>322742</v>
      </c>
      <c r="N10" s="34">
        <v>324205</v>
      </c>
      <c r="O10" s="34">
        <v>322742</v>
      </c>
    </row>
    <row r="11" spans="1:16" ht="12" customHeight="1" x14ac:dyDescent="0.2">
      <c r="B11" s="32" t="s">
        <v>11</v>
      </c>
      <c r="C11" s="33" t="s">
        <v>12</v>
      </c>
      <c r="D11" s="34">
        <v>2404406.6450200002</v>
      </c>
      <c r="E11" s="34">
        <v>2331299</v>
      </c>
      <c r="F11" s="34">
        <v>2404406.6450200002</v>
      </c>
      <c r="G11" s="34">
        <v>2331299</v>
      </c>
      <c r="H11" s="35"/>
      <c r="I11" s="35"/>
      <c r="J11" s="35" t="s">
        <v>13</v>
      </c>
      <c r="K11" s="36"/>
      <c r="L11" s="34">
        <v>313902</v>
      </c>
      <c r="M11" s="34">
        <v>305789</v>
      </c>
      <c r="N11" s="34">
        <v>359699</v>
      </c>
      <c r="O11" s="34">
        <v>310991</v>
      </c>
    </row>
    <row r="12" spans="1:16" ht="12" customHeight="1" x14ac:dyDescent="0.2">
      <c r="B12" s="32" t="s">
        <v>14</v>
      </c>
      <c r="C12" s="33">
        <v>5</v>
      </c>
      <c r="D12" s="34">
        <v>21785</v>
      </c>
      <c r="E12" s="34">
        <v>5972</v>
      </c>
      <c r="F12" s="34">
        <v>21785</v>
      </c>
      <c r="G12" s="34">
        <v>5972</v>
      </c>
      <c r="H12" s="35"/>
      <c r="I12" s="35"/>
      <c r="J12" s="35" t="s">
        <v>15</v>
      </c>
      <c r="K12" s="37">
        <v>18</v>
      </c>
      <c r="L12" s="34">
        <v>827189</v>
      </c>
      <c r="M12" s="34">
        <v>958279</v>
      </c>
      <c r="N12" s="34">
        <v>1421771</v>
      </c>
      <c r="O12" s="34">
        <v>1437488</v>
      </c>
    </row>
    <row r="13" spans="1:16" ht="12" customHeight="1" x14ac:dyDescent="0.2">
      <c r="B13" s="32" t="s">
        <v>16</v>
      </c>
      <c r="C13" s="38" t="s">
        <v>17</v>
      </c>
      <c r="D13" s="34">
        <v>1300468</v>
      </c>
      <c r="E13" s="34">
        <v>1417914</v>
      </c>
      <c r="F13" s="34">
        <v>1897967</v>
      </c>
      <c r="G13" s="34">
        <v>1896954</v>
      </c>
      <c r="H13" s="35"/>
      <c r="I13" s="35"/>
      <c r="J13" s="35" t="s">
        <v>18</v>
      </c>
      <c r="K13" s="33">
        <v>6</v>
      </c>
      <c r="L13" s="34">
        <v>324190</v>
      </c>
      <c r="M13" s="34">
        <v>408483</v>
      </c>
      <c r="N13" s="34">
        <v>346367</v>
      </c>
      <c r="O13" s="34">
        <v>432762</v>
      </c>
      <c r="P13" s="39"/>
    </row>
    <row r="14" spans="1:16" ht="12" customHeight="1" x14ac:dyDescent="0.2">
      <c r="B14" s="32" t="s">
        <v>19</v>
      </c>
      <c r="C14" s="33"/>
      <c r="D14" s="34">
        <v>9294</v>
      </c>
      <c r="E14" s="34">
        <v>7214</v>
      </c>
      <c r="F14" s="34">
        <v>26320</v>
      </c>
      <c r="G14" s="34">
        <v>18545</v>
      </c>
      <c r="H14" s="35"/>
      <c r="I14" s="40"/>
      <c r="J14" s="35" t="s">
        <v>20</v>
      </c>
      <c r="K14" s="33" t="s">
        <v>21</v>
      </c>
      <c r="L14" s="34">
        <v>138542</v>
      </c>
      <c r="M14" s="34">
        <v>101993</v>
      </c>
      <c r="N14" s="34">
        <v>138581</v>
      </c>
      <c r="O14" s="34">
        <v>102014</v>
      </c>
      <c r="P14" s="39"/>
    </row>
    <row r="15" spans="1:16" ht="12" customHeight="1" x14ac:dyDescent="0.2">
      <c r="B15" s="41" t="s">
        <v>22</v>
      </c>
      <c r="C15" s="42"/>
      <c r="D15" s="34">
        <v>131432</v>
      </c>
      <c r="E15" s="34">
        <v>107948</v>
      </c>
      <c r="F15" s="34">
        <v>131432</v>
      </c>
      <c r="G15" s="34">
        <v>107948</v>
      </c>
      <c r="H15" s="35"/>
      <c r="I15" s="40"/>
      <c r="J15" s="35" t="s">
        <v>23</v>
      </c>
      <c r="K15" s="33" t="s">
        <v>21</v>
      </c>
      <c r="L15" s="34">
        <v>16200</v>
      </c>
      <c r="M15" s="34">
        <v>0</v>
      </c>
      <c r="N15" s="34">
        <v>17806</v>
      </c>
      <c r="O15" s="34">
        <v>3474</v>
      </c>
      <c r="P15" s="39"/>
    </row>
    <row r="16" spans="1:16" ht="12" customHeight="1" x14ac:dyDescent="0.2">
      <c r="B16" s="41" t="s">
        <v>24</v>
      </c>
      <c r="C16" s="43" t="s">
        <v>21</v>
      </c>
      <c r="D16" s="34">
        <v>87091</v>
      </c>
      <c r="E16" s="34">
        <v>159061</v>
      </c>
      <c r="F16" s="44">
        <v>87171</v>
      </c>
      <c r="G16" s="34">
        <v>159061</v>
      </c>
      <c r="H16" s="35"/>
      <c r="I16" s="35"/>
      <c r="J16" s="45" t="s">
        <v>25</v>
      </c>
      <c r="K16" s="43" t="s">
        <v>26</v>
      </c>
      <c r="L16" s="34">
        <v>0</v>
      </c>
      <c r="M16" s="34">
        <v>43031</v>
      </c>
      <c r="N16" s="34">
        <v>0</v>
      </c>
      <c r="O16" s="34">
        <v>43031</v>
      </c>
      <c r="P16" s="39"/>
    </row>
    <row r="17" spans="1:16" ht="12" customHeight="1" x14ac:dyDescent="0.2">
      <c r="B17" s="41" t="s">
        <v>20</v>
      </c>
      <c r="C17" s="43" t="s">
        <v>21</v>
      </c>
      <c r="D17" s="34">
        <f>130161-D16</f>
        <v>43070</v>
      </c>
      <c r="E17" s="34">
        <v>54709</v>
      </c>
      <c r="F17" s="44">
        <v>43129</v>
      </c>
      <c r="G17" s="34">
        <v>54717</v>
      </c>
      <c r="H17" s="35"/>
      <c r="I17" s="35"/>
      <c r="J17" s="35" t="s">
        <v>27</v>
      </c>
      <c r="K17" s="43">
        <v>15</v>
      </c>
      <c r="L17" s="34">
        <v>803646</v>
      </c>
      <c r="M17" s="34">
        <v>416477</v>
      </c>
      <c r="N17" s="34">
        <v>803658</v>
      </c>
      <c r="O17" s="34">
        <v>416477</v>
      </c>
      <c r="P17" s="39"/>
    </row>
    <row r="18" spans="1:16" ht="12" customHeight="1" x14ac:dyDescent="0.2">
      <c r="B18" s="41" t="s">
        <v>28</v>
      </c>
      <c r="C18" s="43">
        <v>7</v>
      </c>
      <c r="D18" s="34">
        <v>42264</v>
      </c>
      <c r="E18" s="34">
        <v>8086</v>
      </c>
      <c r="F18" s="34">
        <v>60738</v>
      </c>
      <c r="G18" s="34">
        <v>62561</v>
      </c>
      <c r="H18" s="35"/>
      <c r="I18" s="46"/>
      <c r="J18" s="46" t="s">
        <v>29</v>
      </c>
      <c r="K18" s="47"/>
      <c r="L18" s="34">
        <v>17590</v>
      </c>
      <c r="M18" s="34">
        <v>34596</v>
      </c>
      <c r="N18" s="34">
        <v>17694</v>
      </c>
      <c r="O18" s="34">
        <v>34669</v>
      </c>
      <c r="P18" s="39"/>
    </row>
    <row r="19" spans="1:16" ht="12" customHeight="1" x14ac:dyDescent="0.2">
      <c r="A19" s="48"/>
      <c r="B19" s="49" t="s">
        <v>30</v>
      </c>
      <c r="C19" s="49"/>
      <c r="D19" s="50">
        <v>109551</v>
      </c>
      <c r="E19" s="50">
        <v>113599</v>
      </c>
      <c r="F19" s="50">
        <v>109343</v>
      </c>
      <c r="G19" s="50">
        <v>113599</v>
      </c>
      <c r="H19" s="35"/>
      <c r="I19" s="46"/>
      <c r="J19" s="51" t="s">
        <v>31</v>
      </c>
      <c r="K19" s="52"/>
      <c r="L19" s="53">
        <v>303</v>
      </c>
      <c r="M19" s="34">
        <v>4739</v>
      </c>
      <c r="N19" s="34">
        <v>303</v>
      </c>
      <c r="O19" s="34">
        <v>4739</v>
      </c>
      <c r="P19" s="39"/>
    </row>
    <row r="20" spans="1:16" ht="12" customHeight="1" x14ac:dyDescent="0.2">
      <c r="A20" s="54"/>
      <c r="B20" s="55"/>
      <c r="C20" s="55"/>
      <c r="D20" s="56">
        <f>SUM(D10:D19)</f>
        <v>4248935.6450200006</v>
      </c>
      <c r="E20" s="56">
        <f>SUM(E10:E19)</f>
        <v>4307919</v>
      </c>
      <c r="F20" s="56">
        <f>SUM(F10:F19)</f>
        <v>6377191.6450200006</v>
      </c>
      <c r="G20" s="56">
        <f>SUM(G10:G19)</f>
        <v>5739346</v>
      </c>
      <c r="H20" s="46"/>
      <c r="I20" s="46"/>
      <c r="J20" s="57"/>
      <c r="K20" s="58"/>
      <c r="L20" s="59">
        <f>SUM(L10:L19)</f>
        <v>2765767</v>
      </c>
      <c r="M20" s="59">
        <f>SUM(M10:M19)</f>
        <v>2596129</v>
      </c>
      <c r="N20" s="59">
        <f>SUM(N10:N19)</f>
        <v>3430084</v>
      </c>
      <c r="O20" s="59">
        <f>SUM(O10:O19)</f>
        <v>3108387</v>
      </c>
      <c r="P20" s="39"/>
    </row>
    <row r="21" spans="1:16" ht="6" customHeight="1" x14ac:dyDescent="0.2">
      <c r="A21" s="54"/>
      <c r="B21" s="55"/>
      <c r="C21" s="55"/>
      <c r="D21" s="56"/>
      <c r="E21" s="56"/>
      <c r="F21" s="56"/>
      <c r="G21" s="56"/>
      <c r="H21" s="46"/>
      <c r="I21" s="46"/>
      <c r="J21" s="60"/>
      <c r="K21" s="60"/>
      <c r="L21" s="56"/>
      <c r="M21" s="56"/>
      <c r="N21" s="56"/>
      <c r="O21" s="56"/>
      <c r="P21" s="39"/>
    </row>
    <row r="22" spans="1:16" ht="12" customHeight="1" x14ac:dyDescent="0.2">
      <c r="B22" s="3" t="s">
        <v>32</v>
      </c>
      <c r="C22" s="43">
        <v>10</v>
      </c>
      <c r="D22" s="34">
        <v>0</v>
      </c>
      <c r="E22" s="34">
        <v>8123</v>
      </c>
      <c r="F22" s="34">
        <v>0</v>
      </c>
      <c r="G22" s="34">
        <v>8123</v>
      </c>
      <c r="H22" s="35"/>
      <c r="I22" s="61"/>
      <c r="J22" s="61"/>
      <c r="K22" s="47"/>
      <c r="L22" s="62"/>
      <c r="M22" s="62"/>
      <c r="N22" s="62"/>
      <c r="O22" s="62"/>
      <c r="P22" s="63"/>
    </row>
    <row r="23" spans="1:16" ht="6" customHeight="1" x14ac:dyDescent="0.2">
      <c r="A23" s="3"/>
      <c r="B23" s="61"/>
      <c r="C23" s="61"/>
      <c r="D23" s="45"/>
      <c r="E23" s="45"/>
      <c r="F23" s="45"/>
      <c r="G23" s="45"/>
      <c r="H23" s="35"/>
      <c r="I23" s="61"/>
      <c r="J23" s="61"/>
      <c r="K23" s="45"/>
      <c r="L23" s="45"/>
      <c r="M23" s="45"/>
      <c r="N23" s="45"/>
      <c r="P23" s="63"/>
    </row>
    <row r="24" spans="1:16" ht="12" customHeight="1" x14ac:dyDescent="0.2">
      <c r="A24" s="64"/>
      <c r="B24" s="65"/>
      <c r="C24" s="65"/>
      <c r="D24" s="66">
        <f>D20+D22</f>
        <v>4248935.6450200006</v>
      </c>
      <c r="E24" s="59">
        <f>E20+E22</f>
        <v>4316042</v>
      </c>
      <c r="F24" s="59">
        <f>F20+F22</f>
        <v>6377191.6450200006</v>
      </c>
      <c r="G24" s="59">
        <f>G20+G22</f>
        <v>5747469</v>
      </c>
      <c r="H24" s="35"/>
      <c r="I24" s="61"/>
      <c r="J24" s="61"/>
      <c r="K24" s="45"/>
      <c r="L24" s="45"/>
      <c r="M24" s="45"/>
      <c r="N24" s="45"/>
    </row>
    <row r="25" spans="1:16" ht="12" customHeight="1" x14ac:dyDescent="0.2">
      <c r="B25" s="45"/>
      <c r="C25" s="45"/>
      <c r="D25" s="45"/>
      <c r="E25" s="45"/>
      <c r="F25" s="45"/>
      <c r="G25" s="45"/>
      <c r="H25" s="35"/>
      <c r="I25" s="67" t="s">
        <v>33</v>
      </c>
      <c r="J25" s="68"/>
      <c r="K25" s="47"/>
      <c r="L25" s="62"/>
      <c r="M25" s="62"/>
      <c r="N25" s="62"/>
      <c r="O25" s="62"/>
    </row>
    <row r="26" spans="1:16" ht="12" customHeight="1" x14ac:dyDescent="0.2">
      <c r="B26" s="45"/>
      <c r="C26" s="45"/>
      <c r="D26" s="45"/>
      <c r="E26" s="45"/>
      <c r="F26" s="45"/>
      <c r="G26" s="45"/>
      <c r="H26" s="35"/>
      <c r="I26" s="46"/>
      <c r="J26" s="46" t="s">
        <v>10</v>
      </c>
      <c r="K26" s="43">
        <v>17</v>
      </c>
      <c r="L26" s="34">
        <v>5501369</v>
      </c>
      <c r="M26" s="34">
        <v>6527700</v>
      </c>
      <c r="N26" s="34">
        <v>5501369</v>
      </c>
      <c r="O26" s="34">
        <v>6527700</v>
      </c>
    </row>
    <row r="27" spans="1:16" ht="12" customHeight="1" x14ac:dyDescent="0.2">
      <c r="A27" s="69" t="s">
        <v>33</v>
      </c>
      <c r="B27" s="61"/>
      <c r="C27" s="70"/>
      <c r="D27" s="71"/>
      <c r="E27" s="71"/>
      <c r="F27" s="62"/>
      <c r="G27" s="62"/>
      <c r="H27" s="35"/>
      <c r="I27" s="46"/>
      <c r="J27" s="46" t="s">
        <v>13</v>
      </c>
      <c r="K27" s="72"/>
      <c r="L27" s="34">
        <v>53399</v>
      </c>
      <c r="M27" s="34">
        <v>44132</v>
      </c>
      <c r="N27" s="34">
        <v>53399</v>
      </c>
      <c r="O27" s="34">
        <v>44132</v>
      </c>
    </row>
    <row r="28" spans="1:16" ht="12" customHeight="1" x14ac:dyDescent="0.2">
      <c r="A28" s="73" t="s">
        <v>34</v>
      </c>
      <c r="B28" s="61"/>
      <c r="C28" s="74"/>
      <c r="D28" s="71"/>
      <c r="E28" s="71"/>
      <c r="F28" s="62"/>
      <c r="G28" s="62"/>
      <c r="H28" s="35"/>
      <c r="I28" s="46"/>
      <c r="J28" s="35" t="s">
        <v>15</v>
      </c>
      <c r="K28" s="75">
        <v>18</v>
      </c>
      <c r="L28" s="34">
        <v>2582848</v>
      </c>
      <c r="M28" s="34">
        <v>2853741</v>
      </c>
      <c r="N28" s="34">
        <v>4612955</v>
      </c>
      <c r="O28" s="34">
        <v>4558997</v>
      </c>
    </row>
    <row r="29" spans="1:16" ht="12" customHeight="1" x14ac:dyDescent="0.2">
      <c r="A29" s="3"/>
      <c r="B29" s="76" t="s">
        <v>11</v>
      </c>
      <c r="C29" s="77" t="str">
        <f>+C11</f>
        <v>4.2</v>
      </c>
      <c r="D29" s="34">
        <v>61620</v>
      </c>
      <c r="E29" s="34">
        <v>60652</v>
      </c>
      <c r="F29" s="34">
        <v>61620</v>
      </c>
      <c r="G29" s="34">
        <f>+E29</f>
        <v>60652</v>
      </c>
      <c r="H29" s="35"/>
      <c r="I29" s="46"/>
      <c r="J29" s="46" t="s">
        <v>35</v>
      </c>
      <c r="K29" s="43" t="s">
        <v>36</v>
      </c>
      <c r="L29" s="34">
        <v>267026</v>
      </c>
      <c r="M29" s="34">
        <v>214374</v>
      </c>
      <c r="N29" s="34">
        <v>267026</v>
      </c>
      <c r="O29" s="34">
        <v>214374</v>
      </c>
    </row>
    <row r="30" spans="1:16" ht="12" customHeight="1" x14ac:dyDescent="0.2">
      <c r="A30" s="3"/>
      <c r="B30" s="76" t="s">
        <v>16</v>
      </c>
      <c r="C30" s="38" t="s">
        <v>17</v>
      </c>
      <c r="D30" s="34">
        <v>15953</v>
      </c>
      <c r="E30" s="34">
        <v>14791</v>
      </c>
      <c r="F30" s="34">
        <v>2003105</v>
      </c>
      <c r="G30" s="34">
        <v>1696575</v>
      </c>
      <c r="H30" s="35"/>
      <c r="I30" s="46"/>
      <c r="J30" s="46" t="s">
        <v>18</v>
      </c>
      <c r="K30" s="43">
        <v>6</v>
      </c>
      <c r="L30" s="34">
        <v>158428</v>
      </c>
      <c r="M30" s="34">
        <v>145115</v>
      </c>
      <c r="N30" s="34">
        <v>158428</v>
      </c>
      <c r="O30" s="34">
        <v>145115</v>
      </c>
    </row>
    <row r="31" spans="1:16" ht="12" customHeight="1" x14ac:dyDescent="0.2">
      <c r="A31" s="3"/>
      <c r="B31" s="76" t="s">
        <v>37</v>
      </c>
      <c r="C31" s="77" t="s">
        <v>38</v>
      </c>
      <c r="D31" s="34">
        <v>779561</v>
      </c>
      <c r="E31" s="34">
        <v>792403</v>
      </c>
      <c r="F31" s="34">
        <v>779561</v>
      </c>
      <c r="G31" s="34">
        <f t="shared" ref="G31:G34" si="0">+E31</f>
        <v>792403</v>
      </c>
      <c r="H31" s="35"/>
      <c r="I31" s="68"/>
      <c r="J31" s="46" t="s">
        <v>31</v>
      </c>
      <c r="K31" s="72"/>
      <c r="L31" s="34">
        <v>4050</v>
      </c>
      <c r="M31" s="34">
        <v>4230</v>
      </c>
      <c r="N31" s="34">
        <v>4050</v>
      </c>
      <c r="O31" s="34">
        <v>4230</v>
      </c>
    </row>
    <row r="32" spans="1:16" ht="12" customHeight="1" x14ac:dyDescent="0.2">
      <c r="A32" s="3"/>
      <c r="B32" s="76" t="s">
        <v>39</v>
      </c>
      <c r="C32" s="78" t="s">
        <v>40</v>
      </c>
      <c r="D32" s="34">
        <v>211610</v>
      </c>
      <c r="E32" s="34">
        <v>206068</v>
      </c>
      <c r="F32" s="34">
        <v>211610</v>
      </c>
      <c r="G32" s="34">
        <f t="shared" si="0"/>
        <v>206068</v>
      </c>
      <c r="H32" s="35"/>
      <c r="I32" s="68"/>
      <c r="J32" s="46" t="s">
        <v>41</v>
      </c>
      <c r="K32" s="43">
        <v>16</v>
      </c>
      <c r="L32" s="34">
        <v>1584410</v>
      </c>
      <c r="M32" s="34">
        <v>1729667</v>
      </c>
      <c r="N32" s="34">
        <v>1584410</v>
      </c>
      <c r="O32" s="34">
        <v>1729667</v>
      </c>
    </row>
    <row r="33" spans="1:16" ht="12" customHeight="1" x14ac:dyDescent="0.2">
      <c r="A33" s="3"/>
      <c r="B33" s="76" t="s">
        <v>19</v>
      </c>
      <c r="C33" s="79"/>
      <c r="D33" s="34">
        <v>186</v>
      </c>
      <c r="E33" s="34">
        <v>186</v>
      </c>
      <c r="F33" s="34">
        <v>186</v>
      </c>
      <c r="G33" s="34">
        <f t="shared" si="0"/>
        <v>186</v>
      </c>
      <c r="H33" s="35"/>
      <c r="I33" s="46"/>
      <c r="J33" s="46" t="s">
        <v>20</v>
      </c>
      <c r="K33" s="43" t="s">
        <v>21</v>
      </c>
      <c r="L33" s="34">
        <v>43344</v>
      </c>
      <c r="M33" s="34">
        <v>46333</v>
      </c>
      <c r="N33" s="34">
        <v>43344</v>
      </c>
      <c r="O33" s="34">
        <v>46333</v>
      </c>
    </row>
    <row r="34" spans="1:16" x14ac:dyDescent="0.2">
      <c r="A34" s="3"/>
      <c r="B34" s="76" t="s">
        <v>42</v>
      </c>
      <c r="C34" s="77">
        <v>9</v>
      </c>
      <c r="D34" s="34">
        <v>42613</v>
      </c>
      <c r="E34" s="34">
        <v>77431</v>
      </c>
      <c r="F34" s="34">
        <v>42613</v>
      </c>
      <c r="G34" s="34">
        <f t="shared" si="0"/>
        <v>77431</v>
      </c>
      <c r="H34" s="35"/>
      <c r="I34" s="46"/>
      <c r="J34" s="46" t="s">
        <v>29</v>
      </c>
      <c r="K34" s="80"/>
      <c r="L34" s="53">
        <v>15953</v>
      </c>
      <c r="M34" s="34">
        <v>14791</v>
      </c>
      <c r="N34" s="53">
        <v>15953</v>
      </c>
      <c r="O34" s="34">
        <v>14791</v>
      </c>
    </row>
    <row r="35" spans="1:16" ht="12" customHeight="1" x14ac:dyDescent="0.2">
      <c r="A35" s="64"/>
      <c r="B35" s="65"/>
      <c r="C35" s="65"/>
      <c r="D35" s="59">
        <f>SUM(D29:D34)</f>
        <v>1111543</v>
      </c>
      <c r="E35" s="59">
        <f>SUM(E29:E34)</f>
        <v>1151531</v>
      </c>
      <c r="F35" s="59">
        <f>SUM(F29:F34)</f>
        <v>3098695</v>
      </c>
      <c r="G35" s="59">
        <f>SUM(G29:G34)</f>
        <v>2833315</v>
      </c>
      <c r="H35" s="35"/>
      <c r="I35" s="81"/>
      <c r="J35" s="57"/>
      <c r="K35" s="82"/>
      <c r="L35" s="83">
        <f>SUM(L26:L34)</f>
        <v>10210827</v>
      </c>
      <c r="M35" s="83">
        <f>SUM(M26:M34)</f>
        <v>11580083</v>
      </c>
      <c r="N35" s="83">
        <f>SUM(N26:N34)</f>
        <v>12240934</v>
      </c>
      <c r="O35" s="83">
        <f>SUM(O26:O34)</f>
        <v>13285339</v>
      </c>
    </row>
    <row r="36" spans="1:16" ht="12" customHeight="1" x14ac:dyDescent="0.2">
      <c r="A36" s="3"/>
      <c r="B36" s="61"/>
      <c r="C36" s="84"/>
      <c r="D36" s="68"/>
      <c r="E36" s="68"/>
      <c r="F36" s="68"/>
      <c r="G36" s="68"/>
      <c r="H36" s="35"/>
      <c r="I36" s="46"/>
      <c r="J36" s="46"/>
      <c r="K36" s="52"/>
      <c r="L36" s="85"/>
      <c r="M36" s="85"/>
      <c r="N36" s="85"/>
      <c r="O36" s="85"/>
    </row>
    <row r="37" spans="1:16" ht="12" customHeight="1" x14ac:dyDescent="0.2">
      <c r="A37" s="3"/>
      <c r="B37" s="45"/>
      <c r="C37" s="45"/>
      <c r="D37" s="45"/>
      <c r="E37" s="45"/>
      <c r="F37" s="45"/>
      <c r="G37" s="45"/>
      <c r="H37" s="35"/>
      <c r="I37" s="67" t="s">
        <v>43</v>
      </c>
      <c r="J37" s="68"/>
      <c r="K37" s="86"/>
      <c r="L37" s="87"/>
      <c r="M37" s="87"/>
      <c r="N37" s="87"/>
      <c r="O37" s="87"/>
    </row>
    <row r="38" spans="1:16" ht="12" customHeight="1" x14ac:dyDescent="0.2">
      <c r="A38" s="3"/>
      <c r="B38" s="76" t="s">
        <v>44</v>
      </c>
      <c r="C38" s="77">
        <v>11</v>
      </c>
      <c r="D38" s="34">
        <v>1910613</v>
      </c>
      <c r="E38" s="88">
        <v>1298596</v>
      </c>
      <c r="F38" s="34">
        <v>0</v>
      </c>
      <c r="G38" s="88">
        <v>0</v>
      </c>
      <c r="H38" s="35"/>
      <c r="I38" s="46"/>
      <c r="J38" s="46" t="s">
        <v>45</v>
      </c>
      <c r="K38" s="43">
        <v>19</v>
      </c>
      <c r="L38" s="34">
        <v>3403344</v>
      </c>
      <c r="M38" s="34">
        <v>3403344</v>
      </c>
      <c r="N38" s="34">
        <v>3403344</v>
      </c>
      <c r="O38" s="34">
        <v>3403344</v>
      </c>
    </row>
    <row r="39" spans="1:16" ht="12" customHeight="1" x14ac:dyDescent="0.2">
      <c r="A39" s="3"/>
      <c r="B39" s="76" t="s">
        <v>46</v>
      </c>
      <c r="C39" s="77" t="s">
        <v>47</v>
      </c>
      <c r="D39" s="34">
        <v>10376642</v>
      </c>
      <c r="E39" s="88">
        <v>10933469</v>
      </c>
      <c r="F39" s="34">
        <v>10866271</v>
      </c>
      <c r="G39" s="88">
        <v>11336368</v>
      </c>
      <c r="H39" s="35"/>
      <c r="I39" s="46"/>
      <c r="J39" s="46" t="s">
        <v>48</v>
      </c>
      <c r="K39" s="43"/>
      <c r="L39" s="34">
        <v>113921</v>
      </c>
      <c r="M39" s="34">
        <v>243015</v>
      </c>
      <c r="N39" s="34">
        <v>113921</v>
      </c>
      <c r="O39" s="34">
        <v>243015</v>
      </c>
    </row>
    <row r="40" spans="1:16" ht="12" customHeight="1" x14ac:dyDescent="0.2">
      <c r="A40" s="54"/>
      <c r="B40" s="76" t="s">
        <v>49</v>
      </c>
      <c r="C40" s="70"/>
      <c r="D40" s="34">
        <v>46272</v>
      </c>
      <c r="E40" s="88">
        <v>41721</v>
      </c>
      <c r="F40" s="34">
        <v>46272</v>
      </c>
      <c r="G40" s="88">
        <v>41721</v>
      </c>
      <c r="H40" s="35"/>
      <c r="I40" s="46"/>
      <c r="J40" s="46" t="s">
        <v>50</v>
      </c>
      <c r="K40" s="43"/>
      <c r="L40" s="89">
        <v>768118</v>
      </c>
      <c r="M40" s="89">
        <v>-81212</v>
      </c>
      <c r="N40" s="89">
        <v>768118</v>
      </c>
      <c r="O40" s="89">
        <v>-81212</v>
      </c>
    </row>
    <row r="41" spans="1:16" ht="12" customHeight="1" x14ac:dyDescent="0.2">
      <c r="A41" s="3"/>
      <c r="B41" s="3"/>
      <c r="C41" s="3"/>
      <c r="D41" s="90"/>
      <c r="E41" s="90"/>
      <c r="F41" s="90"/>
      <c r="G41" s="90"/>
      <c r="H41" s="35"/>
      <c r="I41" s="46"/>
      <c r="J41" s="46" t="s">
        <v>51</v>
      </c>
      <c r="K41" s="91"/>
      <c r="L41" s="92">
        <v>432029</v>
      </c>
      <c r="M41" s="89">
        <v>0</v>
      </c>
      <c r="N41" s="92">
        <v>432029</v>
      </c>
      <c r="O41" s="89">
        <v>0</v>
      </c>
    </row>
    <row r="42" spans="1:16" ht="11.25" customHeight="1" x14ac:dyDescent="0.2">
      <c r="A42" s="64"/>
      <c r="B42" s="64"/>
      <c r="C42" s="64"/>
      <c r="D42" s="93">
        <f>D35+D38+D39+D40</f>
        <v>13445070</v>
      </c>
      <c r="E42" s="83">
        <f>E35+E38+E39+E40</f>
        <v>13425317</v>
      </c>
      <c r="F42" s="83">
        <f>F35+F38+F39+F40</f>
        <v>14011238</v>
      </c>
      <c r="G42" s="83">
        <f>G35+G38+G39+G40</f>
        <v>14211404</v>
      </c>
      <c r="H42" s="90"/>
      <c r="I42" s="94"/>
      <c r="J42" s="95"/>
      <c r="K42" s="95"/>
      <c r="L42" s="83">
        <f>SUM(L38:L41)</f>
        <v>4717412</v>
      </c>
      <c r="M42" s="83">
        <f>SUM(M38:M41)</f>
        <v>3565147</v>
      </c>
      <c r="N42" s="83">
        <f>SUM(N38:N41)</f>
        <v>4717412</v>
      </c>
      <c r="O42" s="83">
        <f>SUM(O38:O41)</f>
        <v>3565147</v>
      </c>
    </row>
    <row r="43" spans="1:16" ht="12.75" customHeight="1" x14ac:dyDescent="0.2">
      <c r="A43" s="96"/>
      <c r="B43" s="96"/>
      <c r="C43" s="96"/>
      <c r="D43" s="97"/>
      <c r="E43" s="97"/>
      <c r="F43" s="97"/>
      <c r="G43" s="97"/>
      <c r="H43" s="98"/>
      <c r="I43" s="97"/>
      <c r="J43" s="99"/>
      <c r="K43" s="99"/>
      <c r="L43" s="100"/>
      <c r="M43" s="100"/>
      <c r="N43" s="100"/>
      <c r="O43" s="100"/>
    </row>
    <row r="44" spans="1:16" ht="12.75" customHeight="1" x14ac:dyDescent="0.2">
      <c r="A44" s="101" t="s">
        <v>52</v>
      </c>
      <c r="B44" s="102"/>
      <c r="C44" s="102"/>
      <c r="D44" s="103">
        <f>D42+D24</f>
        <v>17694005.645020001</v>
      </c>
      <c r="E44" s="103">
        <f>E42+E24</f>
        <v>17741359</v>
      </c>
      <c r="F44" s="103">
        <f>F42+F24</f>
        <v>20388429.645020001</v>
      </c>
      <c r="G44" s="103">
        <f>G42+G24</f>
        <v>19958873</v>
      </c>
      <c r="H44" s="98"/>
      <c r="I44" s="101" t="s">
        <v>52</v>
      </c>
      <c r="J44" s="102"/>
      <c r="K44" s="104"/>
      <c r="L44" s="103">
        <f>L42+L35+L20</f>
        <v>17694006</v>
      </c>
      <c r="M44" s="103">
        <f>M42+M35+M20</f>
        <v>17741359</v>
      </c>
      <c r="N44" s="103">
        <f>N42+N35+N20</f>
        <v>20388430</v>
      </c>
      <c r="O44" s="103">
        <f>O42+O35+O20</f>
        <v>19958873</v>
      </c>
    </row>
    <row r="45" spans="1:16" ht="6" customHeight="1" x14ac:dyDescent="0.2">
      <c r="A45" s="105"/>
      <c r="B45" s="105"/>
      <c r="C45" s="105"/>
      <c r="D45" s="105"/>
      <c r="E45" s="105"/>
      <c r="F45" s="105"/>
      <c r="G45" s="105"/>
      <c r="H45" s="106"/>
      <c r="L45" s="107"/>
      <c r="M45" s="107">
        <f>M44-E44</f>
        <v>0</v>
      </c>
      <c r="N45" s="107"/>
      <c r="O45" s="107">
        <f>O44-G44</f>
        <v>0</v>
      </c>
      <c r="P45" s="108"/>
    </row>
    <row r="46" spans="1:16" ht="9" customHeight="1" x14ac:dyDescent="0.2">
      <c r="A46" s="109" t="s">
        <v>53</v>
      </c>
      <c r="B46" s="109"/>
      <c r="C46" s="109"/>
      <c r="D46" s="109"/>
      <c r="E46" s="109"/>
      <c r="F46" s="109"/>
      <c r="G46" s="109"/>
      <c r="I46" s="109"/>
      <c r="J46" s="109"/>
      <c r="K46" s="109"/>
      <c r="L46" s="109"/>
      <c r="M46" s="109"/>
      <c r="N46" s="109"/>
      <c r="O46" s="109"/>
    </row>
    <row r="47" spans="1:16" s="112" customFormat="1" x14ac:dyDescent="0.2">
      <c r="A47" s="4"/>
      <c r="B47" s="4"/>
      <c r="C47" s="4"/>
      <c r="D47" s="4"/>
      <c r="E47" s="4"/>
      <c r="F47" s="4"/>
      <c r="G47" s="4"/>
      <c r="H47" s="109"/>
      <c r="I47" s="61"/>
      <c r="J47" s="61"/>
      <c r="K47" s="61"/>
      <c r="L47" s="110"/>
      <c r="M47" s="111"/>
      <c r="N47" s="110"/>
      <c r="O47" s="111"/>
    </row>
    <row r="48" spans="1:16" x14ac:dyDescent="0.2">
      <c r="D48" s="113"/>
      <c r="E48" s="113"/>
      <c r="G48" s="108"/>
      <c r="H48" s="61"/>
    </row>
    <row r="51" spans="2:2" x14ac:dyDescent="0.2">
      <c r="B51" s="32"/>
    </row>
    <row r="53" spans="2:2" ht="12.75" customHeight="1" x14ac:dyDescent="0.2">
      <c r="B53" s="32"/>
    </row>
    <row r="54" spans="2:2" x14ac:dyDescent="0.2">
      <c r="B54" s="32"/>
    </row>
    <row r="55" spans="2:2" ht="12.75" customHeight="1" x14ac:dyDescent="0.2">
      <c r="B55" s="32"/>
    </row>
    <row r="56" spans="2:2" ht="12.75" customHeight="1" x14ac:dyDescent="0.2">
      <c r="B56" s="32"/>
    </row>
    <row r="57" spans="2:2" ht="12.75" customHeight="1" x14ac:dyDescent="0.2">
      <c r="B57" s="32"/>
    </row>
    <row r="58" spans="2:2" ht="12.75" customHeight="1" x14ac:dyDescent="0.2">
      <c r="B58" s="32"/>
    </row>
    <row r="59" spans="2:2" ht="12.75" customHeight="1" x14ac:dyDescent="0.2">
      <c r="B59" s="32"/>
    </row>
    <row r="60" spans="2:2" ht="12.75" customHeight="1" x14ac:dyDescent="0.2">
      <c r="B60" s="32"/>
    </row>
    <row r="61" spans="2:2" ht="12.75" customHeight="1" x14ac:dyDescent="0.2"/>
    <row r="62" spans="2:2" ht="12.75" customHeight="1" x14ac:dyDescent="0.2">
      <c r="B62" s="32"/>
    </row>
    <row r="64" spans="2:2" ht="12.75" customHeight="1" x14ac:dyDescent="0.2">
      <c r="B64" s="32"/>
    </row>
    <row r="65" spans="2:2" x14ac:dyDescent="0.2">
      <c r="B65" s="32"/>
    </row>
    <row r="66" spans="2:2" ht="12.75" customHeight="1" x14ac:dyDescent="0.2">
      <c r="B66" s="32"/>
    </row>
    <row r="67" spans="2:2" ht="12.75" customHeight="1" x14ac:dyDescent="0.2">
      <c r="B67" s="32"/>
    </row>
    <row r="68" spans="2:2" ht="12.75" customHeight="1" x14ac:dyDescent="0.2">
      <c r="B68" s="32"/>
    </row>
    <row r="69" spans="2:2" ht="12.75" customHeight="1" x14ac:dyDescent="0.2"/>
    <row r="70" spans="2:2" ht="12.75" customHeight="1" x14ac:dyDescent="0.2">
      <c r="B70" s="32"/>
    </row>
    <row r="71" spans="2:2" x14ac:dyDescent="0.2">
      <c r="B71" s="32"/>
    </row>
    <row r="72" spans="2:2" ht="12.75" customHeight="1" x14ac:dyDescent="0.2">
      <c r="B72" s="32"/>
    </row>
    <row r="73" spans="2:2" ht="12.75" customHeight="1" x14ac:dyDescent="0.2"/>
    <row r="74" spans="2:2" ht="12.75" customHeight="1" x14ac:dyDescent="0.2"/>
  </sheetData>
  <pageMargins left="0.51181102362204722" right="0.51181102362204722" top="0.78740157480314965" bottom="0.78740157480314965" header="0.31496062992125984" footer="0.31496062992125984"/>
  <pageSetup paperSize="9" scale="69" orientation="landscape" r:id="rId1"/>
  <headerFooter>
    <oddHeader>&amp;R&amp;"Calibri"&amp;14&amp;K0078D7NP-1&amp;1#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T42"/>
  <sheetViews>
    <sheetView showGridLines="0" workbookViewId="0">
      <selection activeCell="B2" sqref="B2"/>
    </sheetView>
  </sheetViews>
  <sheetFormatPr defaultColWidth="9.140625" defaultRowHeight="12.75" x14ac:dyDescent="0.2"/>
  <cols>
    <col min="1" max="1" width="1.85546875" style="4" customWidth="1"/>
    <col min="2" max="2" width="55.28515625" style="4" customWidth="1"/>
    <col min="3" max="3" width="5.42578125" style="4" customWidth="1"/>
    <col min="4" max="4" width="0.85546875" style="4" customWidth="1"/>
    <col min="5" max="8" width="12.85546875" style="4" customWidth="1"/>
    <col min="9" max="9" width="1" style="61" customWidth="1"/>
    <col min="10" max="13" width="12.85546875" style="4" customWidth="1"/>
    <col min="14" max="15" width="10.5703125" style="4" bestFit="1" customWidth="1"/>
    <col min="16" max="16384" width="9.140625" style="4"/>
  </cols>
  <sheetData>
    <row r="1" spans="1:17" ht="21" x14ac:dyDescent="0.35">
      <c r="A1" s="351" t="s">
        <v>238</v>
      </c>
    </row>
    <row r="2" spans="1:17" ht="21" x14ac:dyDescent="0.35">
      <c r="A2" s="351" t="s">
        <v>239</v>
      </c>
    </row>
    <row r="3" spans="1:17" ht="18.75" x14ac:dyDescent="0.3">
      <c r="A3" s="352" t="s">
        <v>242</v>
      </c>
    </row>
    <row r="4" spans="1:17" ht="15" x14ac:dyDescent="0.3">
      <c r="A4" s="353" t="s">
        <v>241</v>
      </c>
    </row>
    <row r="5" spans="1:17" ht="6.75" customHeight="1" x14ac:dyDescent="0.2"/>
    <row r="6" spans="1:17" s="118" customFormat="1" ht="15.75" customHeight="1" x14ac:dyDescent="0.25">
      <c r="A6" s="114"/>
      <c r="B6" s="115" t="s">
        <v>54</v>
      </c>
      <c r="C6" s="114"/>
      <c r="D6" s="114"/>
      <c r="E6" s="116"/>
      <c r="F6" s="116"/>
      <c r="G6" s="116"/>
      <c r="H6" s="116" t="s">
        <v>1</v>
      </c>
      <c r="I6" s="117"/>
      <c r="J6" s="116"/>
      <c r="K6" s="116"/>
      <c r="L6" s="116"/>
      <c r="M6" s="116" t="s">
        <v>2</v>
      </c>
    </row>
    <row r="7" spans="1:17" ht="25.5" x14ac:dyDescent="0.2">
      <c r="A7" s="119"/>
      <c r="B7" s="120" t="s">
        <v>54</v>
      </c>
      <c r="C7" s="121" t="s">
        <v>55</v>
      </c>
      <c r="D7" s="119"/>
      <c r="E7" s="122" t="s">
        <v>56</v>
      </c>
      <c r="F7" s="122" t="s">
        <v>57</v>
      </c>
      <c r="G7" s="122" t="s">
        <v>58</v>
      </c>
      <c r="H7" s="122" t="s">
        <v>59</v>
      </c>
      <c r="I7" s="123"/>
      <c r="J7" s="122" t="str">
        <f>+E7</f>
        <v>01.01.2020 a
30.09.2020</v>
      </c>
      <c r="K7" s="122" t="str">
        <f>+F7</f>
        <v>01.01.2019 a
30.09.2019</v>
      </c>
      <c r="L7" s="122" t="str">
        <f>+G7</f>
        <v>01.07.2020 a
30.09.2020</v>
      </c>
      <c r="M7" s="122" t="str">
        <f>+H7</f>
        <v>01.07.2019 a
30.09.2019</v>
      </c>
    </row>
    <row r="8" spans="1:17" ht="9.75" customHeight="1" x14ac:dyDescent="0.2">
      <c r="B8" s="32"/>
      <c r="C8" s="124"/>
      <c r="E8" s="124"/>
      <c r="F8" s="124"/>
      <c r="G8" s="124"/>
      <c r="H8" s="124"/>
      <c r="I8" s="125"/>
      <c r="J8" s="124"/>
      <c r="K8" s="124"/>
      <c r="L8" s="124"/>
      <c r="M8" s="124"/>
    </row>
    <row r="9" spans="1:17" ht="12" customHeight="1" x14ac:dyDescent="0.2">
      <c r="A9" s="126" t="s">
        <v>60</v>
      </c>
      <c r="C9" s="33">
        <v>20</v>
      </c>
      <c r="E9" s="127">
        <v>5599227</v>
      </c>
      <c r="F9" s="127">
        <v>5351817</v>
      </c>
      <c r="G9" s="127">
        <v>1933323</v>
      </c>
      <c r="H9" s="127">
        <v>1850045</v>
      </c>
      <c r="I9" s="128"/>
      <c r="J9" s="127">
        <v>6061557</v>
      </c>
      <c r="K9" s="127">
        <v>5721896</v>
      </c>
      <c r="L9" s="127">
        <v>2097287</v>
      </c>
      <c r="M9" s="127">
        <v>1990917</v>
      </c>
      <c r="N9" s="129"/>
      <c r="O9" s="130"/>
      <c r="P9" s="131"/>
      <c r="Q9" s="131"/>
    </row>
    <row r="10" spans="1:17" ht="12" customHeight="1" x14ac:dyDescent="0.2">
      <c r="A10" s="132" t="s">
        <v>61</v>
      </c>
      <c r="B10" s="96"/>
      <c r="C10" s="133">
        <v>21</v>
      </c>
      <c r="D10" s="96"/>
      <c r="E10" s="127">
        <v>-3493796</v>
      </c>
      <c r="F10" s="127">
        <v>-3541420</v>
      </c>
      <c r="G10" s="127">
        <v>-1180924</v>
      </c>
      <c r="H10" s="127">
        <v>-1203081</v>
      </c>
      <c r="I10" s="128"/>
      <c r="J10" s="127">
        <v>-3859681</v>
      </c>
      <c r="K10" s="127">
        <v>-3898785</v>
      </c>
      <c r="L10" s="127">
        <v>-1294737</v>
      </c>
      <c r="M10" s="127">
        <v>-1332057</v>
      </c>
      <c r="N10" s="129"/>
      <c r="O10" s="130"/>
      <c r="P10" s="131"/>
      <c r="Q10" s="131"/>
    </row>
    <row r="11" spans="1:17" ht="12" customHeight="1" x14ac:dyDescent="0.2">
      <c r="A11" s="134" t="s">
        <v>62</v>
      </c>
      <c r="B11" s="96"/>
      <c r="C11" s="135"/>
      <c r="D11" s="96"/>
      <c r="E11" s="136">
        <f>SUM(E9:E10)</f>
        <v>2105431</v>
      </c>
      <c r="F11" s="136">
        <f>SUM(F9:F10)</f>
        <v>1810397</v>
      </c>
      <c r="G11" s="136">
        <f>SUM(G9:G10)</f>
        <v>752399</v>
      </c>
      <c r="H11" s="136">
        <f>SUM(H9:H10)</f>
        <v>646964</v>
      </c>
      <c r="I11" s="137"/>
      <c r="J11" s="136">
        <f>SUM(J9:J10)</f>
        <v>2201876</v>
      </c>
      <c r="K11" s="136">
        <f>SUM(K9:K10)</f>
        <v>1823111</v>
      </c>
      <c r="L11" s="136">
        <f>SUM(L9:L10)</f>
        <v>802550</v>
      </c>
      <c r="M11" s="136">
        <f>SUM(M9:M10)</f>
        <v>658860</v>
      </c>
      <c r="N11" s="129"/>
      <c r="O11" s="130"/>
      <c r="P11" s="131"/>
      <c r="Q11" s="131"/>
    </row>
    <row r="12" spans="1:17" ht="12" customHeight="1" x14ac:dyDescent="0.2">
      <c r="A12" s="32" t="s">
        <v>54</v>
      </c>
      <c r="C12" s="138"/>
      <c r="E12" s="139"/>
      <c r="F12" s="139"/>
      <c r="G12" s="139"/>
      <c r="H12" s="139"/>
      <c r="I12" s="140"/>
      <c r="J12" s="139"/>
      <c r="K12" s="139"/>
      <c r="L12" s="139"/>
      <c r="M12" s="139"/>
      <c r="N12" s="129"/>
      <c r="O12" s="130"/>
      <c r="P12" s="131"/>
      <c r="Q12" s="131"/>
    </row>
    <row r="13" spans="1:17" ht="12" customHeight="1" x14ac:dyDescent="0.2">
      <c r="A13" s="126" t="s">
        <v>63</v>
      </c>
      <c r="C13" s="138"/>
      <c r="E13" s="139"/>
      <c r="F13" s="139"/>
      <c r="G13" s="139"/>
      <c r="H13" s="139"/>
      <c r="I13" s="140"/>
      <c r="J13" s="139"/>
      <c r="K13" s="139"/>
      <c r="L13" s="139"/>
      <c r="M13" s="139"/>
      <c r="N13" s="129"/>
      <c r="O13" s="130"/>
      <c r="P13" s="131"/>
      <c r="Q13" s="131"/>
    </row>
    <row r="14" spans="1:17" ht="12" customHeight="1" x14ac:dyDescent="0.2">
      <c r="B14" s="32" t="s">
        <v>64</v>
      </c>
      <c r="C14" s="33">
        <v>21</v>
      </c>
      <c r="E14" s="127">
        <v>-29499</v>
      </c>
      <c r="F14" s="127">
        <v>-30964</v>
      </c>
      <c r="G14" s="127">
        <v>-10134</v>
      </c>
      <c r="H14" s="127">
        <v>-10285</v>
      </c>
      <c r="I14" s="128"/>
      <c r="J14" s="127">
        <v>-29499</v>
      </c>
      <c r="K14" s="127">
        <v>-30964</v>
      </c>
      <c r="L14" s="127">
        <v>-10134</v>
      </c>
      <c r="M14" s="127">
        <v>-10285</v>
      </c>
      <c r="N14" s="127"/>
      <c r="O14" s="130"/>
      <c r="P14" s="131"/>
      <c r="Q14" s="131"/>
    </row>
    <row r="15" spans="1:17" ht="12" customHeight="1" x14ac:dyDescent="0.2">
      <c r="B15" s="32" t="s">
        <v>65</v>
      </c>
      <c r="C15" s="33">
        <v>21</v>
      </c>
      <c r="E15" s="127">
        <v>-525853</v>
      </c>
      <c r="F15" s="127">
        <v>-597886</v>
      </c>
      <c r="G15" s="127">
        <v>-178699</v>
      </c>
      <c r="H15" s="127">
        <v>-177038</v>
      </c>
      <c r="I15" s="128"/>
      <c r="J15" s="127">
        <v>-531822</v>
      </c>
      <c r="K15" s="127">
        <v>-603054</v>
      </c>
      <c r="L15" s="127">
        <v>-180852</v>
      </c>
      <c r="M15" s="127">
        <v>-179353</v>
      </c>
      <c r="N15" s="131"/>
      <c r="O15" s="130"/>
      <c r="P15" s="131"/>
      <c r="Q15" s="131"/>
    </row>
    <row r="16" spans="1:17" ht="12" customHeight="1" x14ac:dyDescent="0.2">
      <c r="B16" s="32" t="s">
        <v>66</v>
      </c>
      <c r="C16" s="33">
        <v>21</v>
      </c>
      <c r="E16" s="127">
        <v>-80485</v>
      </c>
      <c r="F16" s="127">
        <v>-75287</v>
      </c>
      <c r="G16" s="127">
        <v>-36468</v>
      </c>
      <c r="H16" s="127">
        <v>-25107</v>
      </c>
      <c r="I16" s="128"/>
      <c r="J16" s="127">
        <v>-80525</v>
      </c>
      <c r="K16" s="127">
        <v>-75287</v>
      </c>
      <c r="L16" s="127">
        <v>-36483</v>
      </c>
      <c r="M16" s="127">
        <v>-25107</v>
      </c>
      <c r="N16" s="129"/>
      <c r="O16" s="130"/>
      <c r="P16" s="131"/>
      <c r="Q16" s="131"/>
    </row>
    <row r="17" spans="1:20" ht="12" hidden="1" customHeight="1" x14ac:dyDescent="0.2">
      <c r="B17" s="32" t="s">
        <v>67</v>
      </c>
      <c r="C17" s="33" t="s">
        <v>68</v>
      </c>
      <c r="E17" s="127"/>
      <c r="F17" s="127"/>
      <c r="G17" s="127"/>
      <c r="H17" s="127"/>
      <c r="I17" s="128"/>
      <c r="J17" s="127"/>
      <c r="K17" s="127"/>
      <c r="L17" s="127"/>
      <c r="M17" s="127"/>
      <c r="N17" s="129"/>
      <c r="O17" s="130"/>
      <c r="P17" s="131"/>
      <c r="Q17" s="131"/>
    </row>
    <row r="18" spans="1:20" ht="12" customHeight="1" x14ac:dyDescent="0.2">
      <c r="A18" s="96"/>
      <c r="B18" s="132" t="s">
        <v>69</v>
      </c>
      <c r="C18" s="133" t="s">
        <v>70</v>
      </c>
      <c r="D18" s="132"/>
      <c r="E18" s="141">
        <v>-377489</v>
      </c>
      <c r="F18" s="141">
        <v>-181730</v>
      </c>
      <c r="G18" s="141">
        <v>-322039</v>
      </c>
      <c r="H18" s="141">
        <v>-68028</v>
      </c>
      <c r="I18" s="128"/>
      <c r="J18" s="141">
        <v>-383237</v>
      </c>
      <c r="K18" s="141">
        <v>-172023</v>
      </c>
      <c r="L18" s="141">
        <v>-323799</v>
      </c>
      <c r="M18" s="141">
        <v>-61878</v>
      </c>
      <c r="N18" s="129"/>
      <c r="O18" s="130"/>
      <c r="P18" s="131"/>
      <c r="Q18" s="131"/>
    </row>
    <row r="19" spans="1:20" ht="12" customHeight="1" x14ac:dyDescent="0.2">
      <c r="B19" s="32" t="s">
        <v>54</v>
      </c>
      <c r="C19" s="33"/>
      <c r="D19" s="32"/>
      <c r="E19" s="142">
        <f>SUM(E14:E18)</f>
        <v>-1013326</v>
      </c>
      <c r="F19" s="142">
        <f>SUM(F14:F18)</f>
        <v>-885867</v>
      </c>
      <c r="G19" s="142">
        <f>SUM(G14:G18)</f>
        <v>-547340</v>
      </c>
      <c r="H19" s="142">
        <f>SUM(H14:H18)</f>
        <v>-280458</v>
      </c>
      <c r="I19" s="143"/>
      <c r="J19" s="142">
        <f>SUM(J14:J18)</f>
        <v>-1025083</v>
      </c>
      <c r="K19" s="142">
        <f>SUM(K14:K18)</f>
        <v>-881328</v>
      </c>
      <c r="L19" s="142">
        <f>SUM(L14:L18)</f>
        <v>-551268</v>
      </c>
      <c r="M19" s="142">
        <f>SUM(M14:M18)</f>
        <v>-276623</v>
      </c>
      <c r="N19" s="129"/>
      <c r="O19" s="130"/>
      <c r="P19" s="131"/>
      <c r="Q19" s="131"/>
    </row>
    <row r="20" spans="1:20" ht="12" customHeight="1" x14ac:dyDescent="0.2">
      <c r="A20" s="96"/>
      <c r="B20" s="132" t="s">
        <v>54</v>
      </c>
      <c r="C20" s="133"/>
      <c r="D20" s="132"/>
      <c r="E20" s="144"/>
      <c r="F20" s="144"/>
      <c r="G20" s="144"/>
      <c r="H20" s="144"/>
      <c r="I20" s="140"/>
      <c r="J20" s="144"/>
      <c r="K20" s="144"/>
      <c r="L20" s="144"/>
      <c r="M20" s="144"/>
      <c r="N20" s="129"/>
      <c r="O20" s="130"/>
      <c r="P20" s="131"/>
      <c r="Q20" s="131"/>
    </row>
    <row r="21" spans="1:20" ht="14.25" customHeight="1" x14ac:dyDescent="0.2">
      <c r="A21" s="145" t="s">
        <v>71</v>
      </c>
      <c r="B21" s="146"/>
      <c r="C21" s="147"/>
      <c r="D21" s="148"/>
      <c r="E21" s="149">
        <f>+E11+E19</f>
        <v>1092105</v>
      </c>
      <c r="F21" s="149">
        <f>+F11+F19</f>
        <v>924530</v>
      </c>
      <c r="G21" s="149">
        <f>+G11+G19</f>
        <v>205059</v>
      </c>
      <c r="H21" s="149">
        <f>+H11+H19</f>
        <v>366506</v>
      </c>
      <c r="I21" s="143"/>
      <c r="J21" s="149">
        <f>+J11+J19</f>
        <v>1176793</v>
      </c>
      <c r="K21" s="149">
        <f>+K11+K19</f>
        <v>941783</v>
      </c>
      <c r="L21" s="149">
        <f>+L11+L19</f>
        <v>251282</v>
      </c>
      <c r="M21" s="149">
        <f>+M11+M19</f>
        <v>382237</v>
      </c>
      <c r="N21" s="129"/>
      <c r="O21" s="130"/>
      <c r="P21" s="131"/>
      <c r="Q21" s="131"/>
    </row>
    <row r="22" spans="1:20" ht="12" customHeight="1" x14ac:dyDescent="0.2">
      <c r="B22" s="30" t="s">
        <v>54</v>
      </c>
      <c r="C22" s="33"/>
      <c r="D22" s="32"/>
      <c r="E22" s="139"/>
      <c r="F22" s="139"/>
      <c r="G22" s="139"/>
      <c r="H22" s="139"/>
      <c r="I22" s="140"/>
      <c r="J22" s="139"/>
      <c r="K22" s="139"/>
      <c r="L22" s="139"/>
      <c r="M22" s="139"/>
      <c r="N22" s="129"/>
      <c r="O22" s="130"/>
      <c r="P22" s="131"/>
      <c r="Q22" s="131"/>
    </row>
    <row r="23" spans="1:20" ht="12" customHeight="1" x14ac:dyDescent="0.2">
      <c r="B23" s="32" t="s">
        <v>72</v>
      </c>
      <c r="C23" s="33">
        <v>23</v>
      </c>
      <c r="D23" s="150"/>
      <c r="E23" s="127">
        <v>49742</v>
      </c>
      <c r="F23" s="127">
        <v>78349</v>
      </c>
      <c r="G23" s="127">
        <v>13911</v>
      </c>
      <c r="H23" s="127">
        <v>30716</v>
      </c>
      <c r="I23" s="128"/>
      <c r="J23" s="127">
        <v>163976</v>
      </c>
      <c r="K23" s="127">
        <v>179784</v>
      </c>
      <c r="L23" s="127">
        <v>52070</v>
      </c>
      <c r="M23" s="127">
        <v>64043</v>
      </c>
      <c r="N23" s="129"/>
      <c r="O23" s="130"/>
      <c r="R23" s="130"/>
      <c r="S23" s="151"/>
      <c r="T23" s="131"/>
    </row>
    <row r="24" spans="1:20" ht="12" customHeight="1" x14ac:dyDescent="0.2">
      <c r="B24" s="32" t="s">
        <v>73</v>
      </c>
      <c r="C24" s="33">
        <v>23</v>
      </c>
      <c r="D24" s="150"/>
      <c r="E24" s="127">
        <v>-549205</v>
      </c>
      <c r="F24" s="127">
        <v>-682864</v>
      </c>
      <c r="G24" s="127">
        <v>-183580</v>
      </c>
      <c r="H24" s="127">
        <v>-226552</v>
      </c>
      <c r="I24" s="128"/>
      <c r="J24" s="127">
        <v>-652519</v>
      </c>
      <c r="K24" s="127">
        <v>-776231</v>
      </c>
      <c r="L24" s="127">
        <v>-218660</v>
      </c>
      <c r="M24" s="127">
        <v>-257125</v>
      </c>
      <c r="N24" s="129"/>
      <c r="O24" s="130"/>
      <c r="R24" s="130"/>
      <c r="S24" s="131"/>
      <c r="T24" s="131"/>
    </row>
    <row r="25" spans="1:20" ht="12" customHeight="1" x14ac:dyDescent="0.2">
      <c r="A25" s="3"/>
      <c r="B25" s="152" t="s">
        <v>74</v>
      </c>
      <c r="C25" s="153">
        <v>23</v>
      </c>
      <c r="D25" s="73"/>
      <c r="E25" s="127">
        <v>30410</v>
      </c>
      <c r="F25" s="127">
        <v>9931</v>
      </c>
      <c r="G25" s="127">
        <v>4059</v>
      </c>
      <c r="H25" s="127">
        <v>8360</v>
      </c>
      <c r="I25" s="128"/>
      <c r="J25" s="127">
        <v>35420</v>
      </c>
      <c r="K25" s="127">
        <v>11102</v>
      </c>
      <c r="L25" s="127">
        <v>4442</v>
      </c>
      <c r="M25" s="127">
        <v>9925</v>
      </c>
      <c r="N25" s="129"/>
      <c r="O25" s="130"/>
      <c r="P25" s="131"/>
      <c r="Q25" s="131"/>
    </row>
    <row r="26" spans="1:20" ht="5.25" customHeight="1" x14ac:dyDescent="0.2">
      <c r="A26" s="3"/>
      <c r="B26" s="152" t="s">
        <v>54</v>
      </c>
      <c r="C26" s="154"/>
      <c r="D26" s="154"/>
      <c r="E26" s="127"/>
      <c r="F26" s="127"/>
      <c r="G26" s="127"/>
      <c r="H26" s="127"/>
      <c r="I26" s="128"/>
      <c r="J26" s="127"/>
      <c r="K26" s="127"/>
      <c r="L26" s="127"/>
      <c r="M26" s="127"/>
      <c r="N26" s="129"/>
      <c r="O26" s="130"/>
      <c r="P26" s="131"/>
      <c r="Q26" s="131"/>
    </row>
    <row r="27" spans="1:20" ht="12" customHeight="1" x14ac:dyDescent="0.2">
      <c r="A27" s="152" t="s">
        <v>75</v>
      </c>
      <c r="B27" s="3"/>
      <c r="C27" s="153">
        <v>11</v>
      </c>
      <c r="D27" s="73"/>
      <c r="E27" s="127">
        <v>95627</v>
      </c>
      <c r="F27" s="127">
        <v>30281</v>
      </c>
      <c r="G27" s="127">
        <v>48477</v>
      </c>
      <c r="H27" s="127">
        <v>19529</v>
      </c>
      <c r="I27" s="128"/>
      <c r="J27" s="127">
        <v>0</v>
      </c>
      <c r="K27" s="127">
        <v>0</v>
      </c>
      <c r="L27" s="127">
        <v>0</v>
      </c>
      <c r="M27" s="127">
        <v>0</v>
      </c>
      <c r="N27" s="129">
        <f>47150-46798</f>
        <v>352</v>
      </c>
      <c r="O27" s="130"/>
      <c r="P27" s="131"/>
      <c r="Q27" s="131"/>
    </row>
    <row r="28" spans="1:20" ht="7.5" customHeight="1" x14ac:dyDescent="0.2">
      <c r="A28" s="96"/>
      <c r="B28" s="132" t="s">
        <v>54</v>
      </c>
      <c r="C28" s="133"/>
      <c r="D28" s="132"/>
      <c r="E28" s="155"/>
      <c r="F28" s="155"/>
      <c r="G28" s="155"/>
      <c r="H28" s="155"/>
      <c r="I28" s="156"/>
      <c r="J28" s="155"/>
      <c r="K28" s="155"/>
      <c r="L28" s="155"/>
      <c r="M28" s="155"/>
      <c r="N28" s="129"/>
      <c r="O28" s="130"/>
      <c r="P28" s="131"/>
      <c r="Q28" s="131"/>
    </row>
    <row r="29" spans="1:20" ht="12" customHeight="1" x14ac:dyDescent="0.2">
      <c r="A29" s="145" t="s">
        <v>76</v>
      </c>
      <c r="B29" s="157"/>
      <c r="C29" s="147"/>
      <c r="D29" s="148"/>
      <c r="E29" s="149">
        <f>SUM(E21:E27)</f>
        <v>718679</v>
      </c>
      <c r="F29" s="149">
        <f>SUM(F21:F27)</f>
        <v>360227</v>
      </c>
      <c r="G29" s="149">
        <f>SUM(G21:G27)</f>
        <v>87926</v>
      </c>
      <c r="H29" s="149">
        <f>SUM(H21:H27)</f>
        <v>198559</v>
      </c>
      <c r="I29" s="143"/>
      <c r="J29" s="149">
        <f>SUM(J21:J27)</f>
        <v>723670</v>
      </c>
      <c r="K29" s="149">
        <f>SUM(K21:K27)</f>
        <v>356438</v>
      </c>
      <c r="L29" s="149">
        <f>SUM(L21:L27)</f>
        <v>89134</v>
      </c>
      <c r="M29" s="149">
        <f>SUM(M21:M27)</f>
        <v>199080</v>
      </c>
      <c r="N29" s="129"/>
      <c r="O29" s="130"/>
      <c r="P29" s="131"/>
      <c r="Q29" s="131"/>
    </row>
    <row r="30" spans="1:20" ht="8.25" customHeight="1" x14ac:dyDescent="0.2">
      <c r="A30" s="30"/>
      <c r="C30" s="33"/>
      <c r="D30" s="32"/>
      <c r="E30" s="158"/>
      <c r="F30" s="158"/>
      <c r="G30" s="158"/>
      <c r="H30" s="158"/>
      <c r="I30" s="159"/>
      <c r="J30" s="158"/>
      <c r="K30" s="158"/>
      <c r="L30" s="158"/>
      <c r="M30" s="158"/>
      <c r="N30" s="129"/>
      <c r="O30" s="130"/>
      <c r="P30" s="131"/>
      <c r="Q30" s="131"/>
    </row>
    <row r="31" spans="1:20" ht="12" customHeight="1" x14ac:dyDescent="0.2">
      <c r="A31" s="32" t="s">
        <v>77</v>
      </c>
      <c r="C31" s="33" t="s">
        <v>78</v>
      </c>
      <c r="E31" s="160">
        <v>-330408</v>
      </c>
      <c r="F31" s="160">
        <v>-97789</v>
      </c>
      <c r="G31" s="160">
        <v>-88435</v>
      </c>
      <c r="H31" s="160">
        <v>-55784</v>
      </c>
      <c r="I31" s="161"/>
      <c r="J31" s="160">
        <f>-335398-1</f>
        <v>-335399</v>
      </c>
      <c r="K31" s="160">
        <v>-94000</v>
      </c>
      <c r="L31" s="160">
        <v>-89643</v>
      </c>
      <c r="M31" s="160">
        <v>-56305</v>
      </c>
      <c r="N31" s="129"/>
      <c r="O31" s="130"/>
      <c r="P31" s="131"/>
      <c r="Q31" s="131"/>
    </row>
    <row r="32" spans="1:20" ht="12" customHeight="1" x14ac:dyDescent="0.2">
      <c r="A32" s="32" t="s">
        <v>79</v>
      </c>
      <c r="C32" s="33" t="s">
        <v>78</v>
      </c>
      <c r="E32" s="160">
        <v>43758</v>
      </c>
      <c r="F32" s="160">
        <v>-59235</v>
      </c>
      <c r="G32" s="160">
        <v>48152</v>
      </c>
      <c r="H32" s="160">
        <v>-23623</v>
      </c>
      <c r="I32" s="161"/>
      <c r="J32" s="160">
        <v>43758</v>
      </c>
      <c r="K32" s="160">
        <v>-59235</v>
      </c>
      <c r="L32" s="160">
        <v>48152</v>
      </c>
      <c r="M32" s="160">
        <v>-23623</v>
      </c>
      <c r="N32" s="129"/>
      <c r="O32" s="130"/>
      <c r="P32" s="131"/>
      <c r="Q32" s="131"/>
    </row>
    <row r="33" spans="1:17" ht="6" customHeight="1" x14ac:dyDescent="0.2">
      <c r="A33" s="96"/>
      <c r="B33" s="132" t="s">
        <v>54</v>
      </c>
      <c r="C33" s="135"/>
      <c r="D33" s="96"/>
      <c r="E33" s="162"/>
      <c r="F33" s="162"/>
      <c r="G33" s="162"/>
      <c r="H33" s="162"/>
      <c r="I33" s="163"/>
      <c r="J33" s="162"/>
      <c r="K33" s="162"/>
      <c r="L33" s="162"/>
      <c r="M33" s="162"/>
      <c r="N33" s="129"/>
      <c r="O33" s="130"/>
      <c r="P33" s="131"/>
      <c r="Q33" s="131"/>
    </row>
    <row r="34" spans="1:17" ht="14.25" customHeight="1" x14ac:dyDescent="0.2">
      <c r="A34" s="101" t="s">
        <v>80</v>
      </c>
      <c r="B34" s="164"/>
      <c r="C34" s="165"/>
      <c r="D34" s="164"/>
      <c r="E34" s="166">
        <f>+E29+E31+E32</f>
        <v>432029</v>
      </c>
      <c r="F34" s="166">
        <f>+F29+F31+F32</f>
        <v>203203</v>
      </c>
      <c r="G34" s="166">
        <f>+G29+G31+G32</f>
        <v>47643</v>
      </c>
      <c r="H34" s="166">
        <f>+H29+H31+H32</f>
        <v>119152</v>
      </c>
      <c r="I34" s="167"/>
      <c r="J34" s="166">
        <f>+J29+J31+J32</f>
        <v>432029</v>
      </c>
      <c r="K34" s="166">
        <f>+K29+K31+K32</f>
        <v>203203</v>
      </c>
      <c r="L34" s="166">
        <f>+L29+L31+L32</f>
        <v>47643</v>
      </c>
      <c r="M34" s="166">
        <f>+M29+M31+M32</f>
        <v>119152</v>
      </c>
      <c r="N34" s="129"/>
      <c r="O34" s="130"/>
      <c r="P34" s="131"/>
      <c r="Q34" s="131"/>
    </row>
    <row r="35" spans="1:17" ht="7.5" customHeight="1" x14ac:dyDescent="0.2">
      <c r="A35" s="32" t="s">
        <v>54</v>
      </c>
      <c r="C35" s="138"/>
      <c r="E35" s="168"/>
      <c r="F35" s="168"/>
      <c r="G35" s="168"/>
      <c r="H35" s="168"/>
      <c r="I35" s="169"/>
      <c r="J35" s="168"/>
      <c r="K35" s="168"/>
      <c r="L35" s="168"/>
      <c r="M35" s="168"/>
      <c r="O35" s="3"/>
    </row>
    <row r="36" spans="1:17" ht="12" customHeight="1" x14ac:dyDescent="0.2">
      <c r="A36" s="1" t="s">
        <v>81</v>
      </c>
      <c r="B36" s="1"/>
      <c r="C36" s="170" t="s">
        <v>82</v>
      </c>
      <c r="D36" s="1"/>
      <c r="E36" s="171">
        <f>E34/E38</f>
        <v>0.12694250010876684</v>
      </c>
      <c r="F36" s="171">
        <f>F34/F38</f>
        <v>5.9706864237358492E-2</v>
      </c>
      <c r="G36" s="172">
        <f>G34/G38</f>
        <v>1.3998878623152564E-2</v>
      </c>
      <c r="H36" s="172">
        <f>H34/H38</f>
        <v>3.5010271933041043E-2</v>
      </c>
      <c r="I36" s="173"/>
      <c r="J36" s="171">
        <f>J34/J38</f>
        <v>0.12694250010876684</v>
      </c>
      <c r="K36" s="171">
        <f>K34/K38</f>
        <v>5.9706864237358492E-2</v>
      </c>
      <c r="L36" s="172">
        <f>L34/L38</f>
        <v>1.3998878623152564E-2</v>
      </c>
      <c r="M36" s="172">
        <f>M34/M38</f>
        <v>3.5010271933041043E-2</v>
      </c>
      <c r="O36" s="3"/>
    </row>
    <row r="37" spans="1:17" ht="7.5" customHeight="1" x14ac:dyDescent="0.2">
      <c r="A37" s="32" t="s">
        <v>54</v>
      </c>
      <c r="C37" s="138"/>
      <c r="E37" s="174"/>
      <c r="F37" s="174"/>
      <c r="G37" s="174"/>
      <c r="H37" s="174"/>
      <c r="I37" s="175"/>
      <c r="J37" s="174"/>
      <c r="K37" s="174"/>
      <c r="L37" s="174"/>
      <c r="M37" s="174"/>
    </row>
    <row r="38" spans="1:17" ht="12" customHeight="1" x14ac:dyDescent="0.2">
      <c r="A38" s="176" t="s">
        <v>83</v>
      </c>
      <c r="B38" s="3"/>
      <c r="C38" s="153" t="s">
        <v>82</v>
      </c>
      <c r="D38" s="3"/>
      <c r="E38" s="127">
        <v>3403344.0307999998</v>
      </c>
      <c r="F38" s="127">
        <v>3403344.0307999998</v>
      </c>
      <c r="G38" s="127">
        <v>3403344.0307999998</v>
      </c>
      <c r="H38" s="127">
        <v>3403344.0307999998</v>
      </c>
      <c r="I38" s="128"/>
      <c r="J38" s="127">
        <v>3403344.0307999998</v>
      </c>
      <c r="K38" s="127">
        <v>3403344.0307999998</v>
      </c>
      <c r="L38" s="127">
        <v>3403344.0307999998</v>
      </c>
      <c r="M38" s="127">
        <v>3403344.0307999998</v>
      </c>
    </row>
    <row r="39" spans="1:17" ht="4.5" customHeight="1" x14ac:dyDescent="0.2">
      <c r="A39" s="177"/>
      <c r="B39" s="177"/>
      <c r="C39" s="177"/>
      <c r="D39" s="177"/>
      <c r="E39" s="177"/>
      <c r="F39" s="177"/>
      <c r="G39" s="177"/>
      <c r="H39" s="177"/>
      <c r="J39" s="177"/>
      <c r="K39" s="177"/>
      <c r="L39" s="177"/>
      <c r="M39" s="177"/>
    </row>
    <row r="40" spans="1:17" s="112" customFormat="1" ht="12" x14ac:dyDescent="0.2">
      <c r="A40" s="109" t="s">
        <v>53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</row>
    <row r="42" spans="1:17" x14ac:dyDescent="0.2">
      <c r="E42" s="178"/>
      <c r="F42" s="178"/>
      <c r="G42" s="178"/>
      <c r="H42" s="178"/>
      <c r="I42" s="179"/>
      <c r="J42" s="178"/>
      <c r="K42" s="178"/>
      <c r="L42" s="178"/>
      <c r="M42" s="178"/>
    </row>
  </sheetData>
  <pageMargins left="0.51181102362204722" right="0.51181102362204722" top="0.78740157480314965" bottom="0.78740157480314965" header="0.31496062992125984" footer="0.31496062992125984"/>
  <pageSetup paperSize="9" scale="81" orientation="landscape" r:id="rId1"/>
  <headerFooter>
    <oddHeader>&amp;R&amp;"Calibri"&amp;14&amp;K0078D7NP-1&amp;1#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36"/>
  <sheetViews>
    <sheetView showGridLines="0" workbookViewId="0"/>
  </sheetViews>
  <sheetFormatPr defaultColWidth="9.140625" defaultRowHeight="12.75" x14ac:dyDescent="0.2"/>
  <cols>
    <col min="1" max="1" width="1.85546875" style="4" customWidth="1"/>
    <col min="2" max="2" width="68.28515625" style="4" customWidth="1"/>
    <col min="3" max="3" width="6.42578125" style="4" bestFit="1" customWidth="1"/>
    <col min="4" max="11" width="12.28515625" style="4" customWidth="1"/>
    <col min="12" max="16384" width="9.140625" style="4"/>
  </cols>
  <sheetData>
    <row r="1" spans="1:11" ht="21" x14ac:dyDescent="0.35">
      <c r="A1" s="351" t="s">
        <v>238</v>
      </c>
    </row>
    <row r="2" spans="1:11" ht="21" x14ac:dyDescent="0.35">
      <c r="A2" s="351" t="s">
        <v>239</v>
      </c>
    </row>
    <row r="3" spans="1:11" ht="18.75" x14ac:dyDescent="0.3">
      <c r="A3" s="352" t="s">
        <v>243</v>
      </c>
    </row>
    <row r="4" spans="1:11" ht="15" x14ac:dyDescent="0.3">
      <c r="A4" s="353" t="s">
        <v>241</v>
      </c>
    </row>
    <row r="5" spans="1:11" x14ac:dyDescent="0.2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x14ac:dyDescent="0.2">
      <c r="A6" s="3"/>
      <c r="B6" s="3"/>
      <c r="C6" s="3"/>
      <c r="D6" s="180"/>
      <c r="E6" s="181"/>
      <c r="F6" s="181"/>
      <c r="G6" s="181" t="s">
        <v>1</v>
      </c>
      <c r="H6" s="180"/>
      <c r="I6" s="181"/>
      <c r="J6" s="181"/>
      <c r="K6" s="181" t="s">
        <v>2</v>
      </c>
    </row>
    <row r="7" spans="1:11" ht="25.5" x14ac:dyDescent="0.2">
      <c r="A7" s="182"/>
      <c r="B7" s="183"/>
      <c r="C7" s="184" t="s">
        <v>4</v>
      </c>
      <c r="D7" s="122" t="str">
        <f>+DRE!E7</f>
        <v>01.01.2020 a
30.09.2020</v>
      </c>
      <c r="E7" s="122" t="str">
        <f>+DRE!F7</f>
        <v>01.01.2019 a
30.09.2019</v>
      </c>
      <c r="F7" s="122" t="str">
        <f>+DRE!G7</f>
        <v>01.07.2020 a
30.09.2020</v>
      </c>
      <c r="G7" s="122" t="str">
        <f>+DRE!H7</f>
        <v>01.07.2019 a
30.09.2019</v>
      </c>
      <c r="H7" s="122" t="str">
        <f>+DRE!J7</f>
        <v>01.01.2020 a
30.09.2020</v>
      </c>
      <c r="I7" s="122" t="str">
        <f>+DRE!K7</f>
        <v>01.01.2019 a
30.09.2019</v>
      </c>
      <c r="J7" s="122" t="str">
        <f>+DRE!L7</f>
        <v>01.07.2020 a
30.09.2020</v>
      </c>
      <c r="K7" s="122" t="str">
        <f>+DRE!M7</f>
        <v>01.07.2019 a
30.09.2019</v>
      </c>
    </row>
    <row r="8" spans="1:11" x14ac:dyDescent="0.2">
      <c r="B8" s="185"/>
      <c r="C8" s="185"/>
      <c r="D8" s="185"/>
      <c r="E8" s="185"/>
      <c r="F8" s="185"/>
      <c r="G8" s="185"/>
      <c r="H8" s="185"/>
      <c r="I8" s="185"/>
      <c r="J8" s="185"/>
      <c r="K8" s="185"/>
    </row>
    <row r="9" spans="1:11" x14ac:dyDescent="0.2">
      <c r="A9" s="186" t="s">
        <v>80</v>
      </c>
      <c r="B9" s="96"/>
      <c r="C9" s="187"/>
      <c r="D9" s="188">
        <f>+DRE!J34</f>
        <v>432029</v>
      </c>
      <c r="E9" s="188">
        <f>+DRE!K34</f>
        <v>203203</v>
      </c>
      <c r="F9" s="188">
        <f>+DRE!L34</f>
        <v>47643</v>
      </c>
      <c r="G9" s="188">
        <f>+DRE!M34</f>
        <v>119152</v>
      </c>
      <c r="H9" s="188">
        <f>+D9</f>
        <v>432029</v>
      </c>
      <c r="I9" s="188">
        <f t="shared" ref="I9:K9" si="0">+E9</f>
        <v>203203</v>
      </c>
      <c r="J9" s="188">
        <f t="shared" si="0"/>
        <v>47643</v>
      </c>
      <c r="K9" s="188">
        <f t="shared" si="0"/>
        <v>119152</v>
      </c>
    </row>
    <row r="10" spans="1:11" ht="7.5" customHeight="1" x14ac:dyDescent="0.2">
      <c r="A10" s="189"/>
      <c r="B10" s="3"/>
      <c r="C10" s="190"/>
      <c r="D10" s="190"/>
      <c r="E10" s="190"/>
      <c r="F10" s="190"/>
      <c r="G10" s="190"/>
      <c r="H10" s="190"/>
      <c r="I10" s="190"/>
      <c r="J10" s="190"/>
      <c r="K10" s="190"/>
    </row>
    <row r="11" spans="1:11" x14ac:dyDescent="0.2">
      <c r="A11" s="191" t="s">
        <v>84</v>
      </c>
      <c r="C11" s="192"/>
      <c r="D11" s="192"/>
      <c r="E11" s="192"/>
      <c r="F11" s="192"/>
      <c r="G11" s="193"/>
      <c r="H11" s="192"/>
      <c r="I11" s="192"/>
      <c r="J11" s="192"/>
      <c r="K11" s="193"/>
    </row>
    <row r="12" spans="1:11" ht="6" customHeight="1" x14ac:dyDescent="0.2">
      <c r="B12" s="192"/>
      <c r="C12" s="192"/>
      <c r="D12" s="192"/>
      <c r="E12" s="192"/>
      <c r="F12" s="192"/>
      <c r="G12" s="193"/>
      <c r="H12" s="192"/>
      <c r="I12" s="192"/>
      <c r="J12" s="192"/>
      <c r="K12" s="193"/>
    </row>
    <row r="13" spans="1:11" x14ac:dyDescent="0.2">
      <c r="A13" s="194" t="s">
        <v>85</v>
      </c>
      <c r="C13" s="185"/>
      <c r="D13" s="185"/>
      <c r="E13" s="185"/>
      <c r="F13" s="185"/>
      <c r="G13" s="185"/>
      <c r="H13" s="185"/>
      <c r="I13" s="185"/>
      <c r="J13" s="185"/>
      <c r="K13" s="185"/>
    </row>
    <row r="14" spans="1:11" ht="6" customHeight="1" x14ac:dyDescent="0.2">
      <c r="B14" s="185"/>
      <c r="C14" s="185"/>
      <c r="D14" s="185"/>
      <c r="E14" s="185"/>
      <c r="F14" s="185"/>
      <c r="G14" s="185"/>
      <c r="H14" s="185"/>
      <c r="I14" s="185"/>
      <c r="J14" s="185"/>
      <c r="K14" s="185"/>
    </row>
    <row r="15" spans="1:11" x14ac:dyDescent="0.2">
      <c r="A15" s="185"/>
      <c r="B15" s="4" t="s">
        <v>86</v>
      </c>
      <c r="C15" s="185">
        <v>16</v>
      </c>
      <c r="D15" s="185">
        <v>166470.22885000001</v>
      </c>
      <c r="E15" s="185">
        <v>0</v>
      </c>
      <c r="F15" s="185">
        <v>0</v>
      </c>
      <c r="G15" s="185">
        <v>0</v>
      </c>
      <c r="H15" s="185">
        <v>166470.22885000001</v>
      </c>
      <c r="I15" s="185">
        <v>0</v>
      </c>
      <c r="J15" s="185">
        <v>0</v>
      </c>
      <c r="K15" s="185">
        <v>0</v>
      </c>
    </row>
    <row r="16" spans="1:11" ht="12.75" customHeight="1" x14ac:dyDescent="0.2">
      <c r="A16" s="96"/>
      <c r="B16" s="195" t="s">
        <v>87</v>
      </c>
      <c r="C16" s="195"/>
      <c r="D16" s="196">
        <v>-56600</v>
      </c>
      <c r="E16" s="196">
        <v>0</v>
      </c>
      <c r="F16" s="196">
        <v>0</v>
      </c>
      <c r="G16" s="196">
        <v>0</v>
      </c>
      <c r="H16" s="196">
        <v>-56600</v>
      </c>
      <c r="I16" s="196">
        <v>0</v>
      </c>
      <c r="J16" s="196">
        <v>0</v>
      </c>
      <c r="K16" s="196">
        <v>0</v>
      </c>
    </row>
    <row r="17" spans="1:11" x14ac:dyDescent="0.2">
      <c r="A17" s="197"/>
      <c r="B17" s="197"/>
      <c r="C17" s="197"/>
      <c r="D17" s="198">
        <f t="shared" ref="D17:K17" si="1">SUM(D15:D16)</f>
        <v>109870.22885000001</v>
      </c>
      <c r="E17" s="198">
        <f t="shared" si="1"/>
        <v>0</v>
      </c>
      <c r="F17" s="198">
        <f t="shared" si="1"/>
        <v>0</v>
      </c>
      <c r="G17" s="198">
        <f t="shared" si="1"/>
        <v>0</v>
      </c>
      <c r="H17" s="198">
        <f t="shared" si="1"/>
        <v>109870.22885000001</v>
      </c>
      <c r="I17" s="198">
        <f t="shared" si="1"/>
        <v>0</v>
      </c>
      <c r="J17" s="198">
        <f t="shared" si="1"/>
        <v>0</v>
      </c>
      <c r="K17" s="198">
        <f t="shared" si="1"/>
        <v>0</v>
      </c>
    </row>
    <row r="18" spans="1:11" ht="8.25" customHeight="1" x14ac:dyDescent="0.2">
      <c r="B18" s="199"/>
      <c r="C18" s="199"/>
      <c r="D18" s="199"/>
      <c r="E18" s="199"/>
      <c r="F18" s="199"/>
      <c r="G18" s="199"/>
      <c r="H18" s="199"/>
      <c r="I18" s="199"/>
      <c r="J18" s="199"/>
      <c r="K18" s="199"/>
    </row>
    <row r="19" spans="1:11" x14ac:dyDescent="0.2">
      <c r="A19" s="185"/>
      <c r="B19" s="4" t="s">
        <v>88</v>
      </c>
      <c r="C19" s="185">
        <v>16</v>
      </c>
      <c r="D19" s="185">
        <v>223070</v>
      </c>
      <c r="E19" s="185">
        <v>0</v>
      </c>
      <c r="F19" s="185">
        <v>0</v>
      </c>
      <c r="G19" s="185">
        <v>0</v>
      </c>
      <c r="H19" s="185">
        <v>223070</v>
      </c>
      <c r="I19" s="185">
        <v>0</v>
      </c>
      <c r="J19" s="185">
        <v>0</v>
      </c>
      <c r="K19" s="185">
        <v>0</v>
      </c>
    </row>
    <row r="20" spans="1:11" ht="6" customHeight="1" x14ac:dyDescent="0.2">
      <c r="B20" s="185"/>
      <c r="C20" s="185"/>
      <c r="D20" s="185"/>
      <c r="E20" s="185"/>
      <c r="F20" s="185"/>
      <c r="G20" s="185"/>
      <c r="H20" s="185"/>
      <c r="I20" s="185"/>
      <c r="J20" s="185"/>
      <c r="K20" s="185"/>
    </row>
    <row r="21" spans="1:11" ht="6" customHeight="1" x14ac:dyDescent="0.2">
      <c r="B21" s="185"/>
      <c r="C21" s="185"/>
      <c r="D21" s="185"/>
      <c r="E21" s="185"/>
      <c r="F21" s="185"/>
      <c r="G21" s="185"/>
      <c r="H21" s="185"/>
      <c r="I21" s="185"/>
      <c r="J21" s="185"/>
      <c r="K21" s="185"/>
    </row>
    <row r="22" spans="1:11" x14ac:dyDescent="0.2">
      <c r="A22" s="200" t="s">
        <v>89</v>
      </c>
      <c r="C22" s="199"/>
      <c r="D22" s="199"/>
      <c r="E22" s="199"/>
      <c r="F22" s="199"/>
      <c r="G22" s="199"/>
      <c r="H22" s="199"/>
      <c r="I22" s="199"/>
      <c r="J22" s="199"/>
      <c r="K22" s="199"/>
    </row>
    <row r="23" spans="1:11" ht="4.5" customHeight="1" x14ac:dyDescent="0.2">
      <c r="B23" s="199"/>
      <c r="C23" s="199"/>
      <c r="D23" s="199"/>
      <c r="E23" s="199"/>
      <c r="F23" s="199"/>
      <c r="G23" s="199"/>
      <c r="H23" s="199"/>
      <c r="I23" s="199"/>
      <c r="J23" s="199"/>
      <c r="K23" s="199"/>
    </row>
    <row r="24" spans="1:11" x14ac:dyDescent="0.2">
      <c r="B24" s="199" t="s">
        <v>90</v>
      </c>
      <c r="C24" s="199"/>
      <c r="D24" s="199"/>
      <c r="E24" s="199"/>
      <c r="F24" s="199"/>
      <c r="G24" s="199"/>
      <c r="H24" s="199"/>
      <c r="I24" s="199"/>
      <c r="J24" s="199"/>
      <c r="K24" s="199"/>
    </row>
    <row r="25" spans="1:11" x14ac:dyDescent="0.2">
      <c r="B25" s="199" t="s">
        <v>91</v>
      </c>
      <c r="C25" s="201" t="s">
        <v>92</v>
      </c>
      <c r="D25" s="202">
        <v>516390</v>
      </c>
      <c r="E25" s="202">
        <v>88435</v>
      </c>
      <c r="F25" s="202">
        <v>55913</v>
      </c>
      <c r="G25" s="202">
        <v>103090</v>
      </c>
      <c r="H25" s="202">
        <f>+D25</f>
        <v>516390</v>
      </c>
      <c r="I25" s="202">
        <f>+E25</f>
        <v>88435</v>
      </c>
      <c r="J25" s="202">
        <f>+F25</f>
        <v>55913</v>
      </c>
      <c r="K25" s="202">
        <f>+G25</f>
        <v>103090</v>
      </c>
    </row>
    <row r="26" spans="1:11" hidden="1" x14ac:dyDescent="0.2">
      <c r="A26" s="3"/>
      <c r="B26" s="203" t="s">
        <v>93</v>
      </c>
      <c r="C26" s="203"/>
      <c r="D26" s="203"/>
      <c r="E26" s="203">
        <v>0</v>
      </c>
      <c r="F26" s="203"/>
      <c r="G26" s="203">
        <v>0</v>
      </c>
      <c r="H26" s="203"/>
      <c r="I26" s="203">
        <v>0</v>
      </c>
      <c r="J26" s="203"/>
      <c r="K26" s="203">
        <v>0</v>
      </c>
    </row>
    <row r="27" spans="1:11" ht="6.75" customHeight="1" x14ac:dyDescent="0.2">
      <c r="A27" s="96"/>
      <c r="B27" s="204"/>
      <c r="C27" s="204"/>
      <c r="D27" s="204"/>
      <c r="E27" s="204"/>
      <c r="F27" s="204"/>
      <c r="G27" s="205"/>
      <c r="H27" s="204"/>
      <c r="I27" s="204"/>
      <c r="J27" s="204"/>
      <c r="K27" s="205"/>
    </row>
    <row r="28" spans="1:11" x14ac:dyDescent="0.2">
      <c r="A28" s="206" t="s">
        <v>94</v>
      </c>
      <c r="B28" s="102"/>
      <c r="C28" s="207"/>
      <c r="D28" s="208">
        <f>+D9+D17+D19+D25</f>
        <v>1281359.2288500001</v>
      </c>
      <c r="E28" s="208">
        <f>E9+E17+E19+E25+E26</f>
        <v>291638</v>
      </c>
      <c r="F28" s="208">
        <f>F9+F17+F19+F25+F26</f>
        <v>103556</v>
      </c>
      <c r="G28" s="208">
        <f>G9+G17+G19+G25+G26</f>
        <v>222242</v>
      </c>
      <c r="H28" s="208">
        <f>+H9+H17+H19+H25</f>
        <v>1281359.2288500001</v>
      </c>
      <c r="I28" s="208">
        <f>I9+I17+I19+I25+I26</f>
        <v>291638</v>
      </c>
      <c r="J28" s="208">
        <f>J9+J17+J19+J25+J26</f>
        <v>103556</v>
      </c>
      <c r="K28" s="208">
        <f>K9+K17+K19+K25+K26</f>
        <v>222242</v>
      </c>
    </row>
    <row r="29" spans="1:11" ht="6.75" customHeight="1" x14ac:dyDescent="0.2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  <row r="30" spans="1:11" s="112" customFormat="1" x14ac:dyDescent="0.2">
      <c r="A30" s="109" t="s">
        <v>53</v>
      </c>
      <c r="B30" s="210"/>
      <c r="C30" s="210"/>
      <c r="D30" s="211"/>
      <c r="E30" s="211"/>
      <c r="F30" s="211"/>
      <c r="G30" s="211"/>
      <c r="H30" s="211"/>
      <c r="I30" s="211"/>
      <c r="J30" s="211"/>
      <c r="K30" s="211"/>
    </row>
    <row r="32" spans="1:11" x14ac:dyDescent="0.2">
      <c r="D32" s="130">
        <f>+D17+D19+D25</f>
        <v>849330.22885000007</v>
      </c>
      <c r="E32" s="130">
        <f t="shared" ref="E32:K32" si="2">+E17+E19+E25</f>
        <v>88435</v>
      </c>
      <c r="F32" s="130">
        <f t="shared" si="2"/>
        <v>55913</v>
      </c>
      <c r="G32" s="130">
        <f t="shared" si="2"/>
        <v>103090</v>
      </c>
      <c r="H32" s="130">
        <f t="shared" si="2"/>
        <v>849330.22885000007</v>
      </c>
      <c r="I32" s="130">
        <f t="shared" si="2"/>
        <v>88435</v>
      </c>
      <c r="J32" s="130">
        <f t="shared" si="2"/>
        <v>55913</v>
      </c>
      <c r="K32" s="130">
        <f t="shared" si="2"/>
        <v>103090</v>
      </c>
    </row>
    <row r="33" spans="2:8" x14ac:dyDescent="0.2">
      <c r="D33" s="130"/>
      <c r="H33" s="130"/>
    </row>
    <row r="34" spans="2:8" x14ac:dyDescent="0.2">
      <c r="B34" s="24" t="s">
        <v>95</v>
      </c>
      <c r="D34" s="212">
        <v>166470.22885000001</v>
      </c>
    </row>
    <row r="35" spans="2:8" x14ac:dyDescent="0.2">
      <c r="B35" s="24" t="s">
        <v>96</v>
      </c>
      <c r="D35" s="212">
        <v>223070.09619000001</v>
      </c>
    </row>
    <row r="36" spans="2:8" x14ac:dyDescent="0.2">
      <c r="B36" s="24" t="s">
        <v>97</v>
      </c>
      <c r="D36" s="212">
        <v>-56599.877809999998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headerFooter>
    <oddHeader>&amp;R&amp;"Calibri"&amp;14&amp;K0078D7NP-1&amp;1#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Z190"/>
  <sheetViews>
    <sheetView showGridLines="0" topLeftCell="A87" workbookViewId="0">
      <pane ySplit="5" topLeftCell="A92" activePane="bottomLeft" state="frozen"/>
      <selection activeCell="D7" sqref="D7"/>
      <selection pane="bottomLeft" activeCell="V188" sqref="V188"/>
    </sheetView>
  </sheetViews>
  <sheetFormatPr defaultColWidth="9.140625" defaultRowHeight="12.75" x14ac:dyDescent="0.2"/>
  <cols>
    <col min="1" max="1" width="57.7109375" style="4" customWidth="1"/>
    <col min="2" max="2" width="4.28515625" style="4" customWidth="1"/>
    <col min="3" max="3" width="1" style="4" customWidth="1"/>
    <col min="4" max="4" width="10.7109375" style="4" customWidth="1"/>
    <col min="5" max="5" width="1" style="4" customWidth="1"/>
    <col min="6" max="6" width="10.42578125" style="4" hidden="1" customWidth="1"/>
    <col min="7" max="7" width="0.7109375" style="4" hidden="1" customWidth="1"/>
    <col min="8" max="8" width="10.5703125" style="4" bestFit="1" customWidth="1"/>
    <col min="9" max="9" width="1" style="4" customWidth="1"/>
    <col min="10" max="10" width="5.140625" style="4" hidden="1" customWidth="1"/>
    <col min="11" max="11" width="7.85546875" style="4" hidden="1" customWidth="1"/>
    <col min="12" max="12" width="10.5703125" style="4" bestFit="1" customWidth="1"/>
    <col min="13" max="13" width="8.85546875" style="4" hidden="1" customWidth="1"/>
    <col min="14" max="14" width="11.5703125" style="4" bestFit="1" customWidth="1"/>
    <col min="15" max="15" width="5.28515625" style="4" hidden="1" customWidth="1"/>
    <col min="16" max="16" width="10.85546875" style="4" hidden="1" customWidth="1"/>
    <col min="17" max="17" width="5.28515625" style="4" hidden="1" customWidth="1"/>
    <col min="18" max="18" width="12" style="4" customWidth="1"/>
    <col min="19" max="19" width="1" style="4" customWidth="1"/>
    <col min="20" max="20" width="17.140625" style="4" customWidth="1"/>
    <col min="21" max="21" width="1" style="4" customWidth="1"/>
    <col min="22" max="22" width="11" style="4" customWidth="1"/>
    <col min="23" max="23" width="13.140625" style="4" bestFit="1" customWidth="1"/>
    <col min="24" max="25" width="9.140625" style="4"/>
    <col min="26" max="26" width="13.28515625" style="4" bestFit="1" customWidth="1"/>
    <col min="27" max="16384" width="9.140625" style="4"/>
  </cols>
  <sheetData>
    <row r="1" spans="1:23" x14ac:dyDescent="0.2">
      <c r="A1" s="213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1"/>
      <c r="W1" s="3"/>
    </row>
    <row r="2" spans="1:23" ht="7.5" customHeight="1" x14ac:dyDescent="0.2">
      <c r="A2" s="30"/>
      <c r="B2" s="21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15"/>
      <c r="S2" s="3"/>
      <c r="T2" s="215"/>
      <c r="U2" s="3"/>
      <c r="V2" s="215"/>
      <c r="W2" s="152"/>
    </row>
    <row r="3" spans="1:23" ht="25.5" x14ac:dyDescent="0.2">
      <c r="A3" s="216"/>
      <c r="B3" s="217"/>
      <c r="C3" s="218"/>
      <c r="D3" s="217"/>
      <c r="E3" s="217"/>
      <c r="F3" s="219" t="s">
        <v>98</v>
      </c>
      <c r="G3" s="220"/>
      <c r="H3" s="221"/>
      <c r="I3" s="222" t="s">
        <v>48</v>
      </c>
      <c r="J3" s="223"/>
      <c r="K3" s="223"/>
      <c r="L3" s="223"/>
      <c r="M3" s="224"/>
      <c r="N3" s="224"/>
      <c r="O3" s="224"/>
      <c r="P3" s="224"/>
      <c r="Q3" s="220"/>
      <c r="R3" s="220"/>
      <c r="S3" s="220"/>
      <c r="T3" s="219" t="s">
        <v>50</v>
      </c>
      <c r="U3" s="220"/>
      <c r="V3" s="217"/>
      <c r="W3" s="3"/>
    </row>
    <row r="4" spans="1:23" ht="51" x14ac:dyDescent="0.2">
      <c r="A4" s="216"/>
      <c r="B4" s="220" t="s">
        <v>4</v>
      </c>
      <c r="C4" s="225"/>
      <c r="D4" s="225" t="s">
        <v>45</v>
      </c>
      <c r="E4" s="220"/>
      <c r="F4" s="225" t="s">
        <v>99</v>
      </c>
      <c r="G4" s="220"/>
      <c r="H4" s="220" t="s">
        <v>100</v>
      </c>
      <c r="I4" s="220"/>
      <c r="J4" s="225" t="s">
        <v>101</v>
      </c>
      <c r="K4" s="220"/>
      <c r="L4" s="225" t="s">
        <v>99</v>
      </c>
      <c r="M4" s="220"/>
      <c r="N4" s="225" t="s">
        <v>102</v>
      </c>
      <c r="O4" s="220"/>
      <c r="P4" s="225" t="s">
        <v>103</v>
      </c>
      <c r="Q4" s="220"/>
      <c r="R4" s="225" t="s">
        <v>104</v>
      </c>
      <c r="S4" s="220"/>
      <c r="T4" s="225" t="s">
        <v>105</v>
      </c>
      <c r="U4" s="225"/>
      <c r="V4" s="220" t="s">
        <v>106</v>
      </c>
      <c r="W4" s="226"/>
    </row>
    <row r="5" spans="1:23" ht="6.75" hidden="1" customHeight="1" x14ac:dyDescent="0.2">
      <c r="C5" s="29"/>
      <c r="D5" s="227"/>
      <c r="E5" s="227"/>
      <c r="F5" s="227"/>
      <c r="G5" s="32"/>
      <c r="H5" s="227"/>
      <c r="I5" s="32"/>
      <c r="J5" s="227"/>
      <c r="K5" s="32"/>
      <c r="L5" s="227"/>
      <c r="M5" s="32"/>
      <c r="N5" s="227"/>
      <c r="O5" s="32"/>
      <c r="P5" s="227"/>
      <c r="Q5" s="32"/>
      <c r="R5" s="227"/>
      <c r="S5" s="32"/>
      <c r="T5" s="227"/>
      <c r="U5" s="32"/>
      <c r="V5" s="227"/>
    </row>
    <row r="6" spans="1:23" ht="12.75" hidden="1" customHeight="1" x14ac:dyDescent="0.2">
      <c r="A6" s="228" t="s">
        <v>107</v>
      </c>
      <c r="B6" s="228"/>
      <c r="C6" s="29"/>
      <c r="D6" s="229">
        <v>3202960</v>
      </c>
      <c r="E6" s="229"/>
      <c r="F6" s="229">
        <v>5792</v>
      </c>
      <c r="G6" s="229"/>
      <c r="H6" s="229">
        <v>303455</v>
      </c>
      <c r="I6" s="229"/>
      <c r="J6" s="229">
        <v>1239</v>
      </c>
      <c r="K6" s="229"/>
      <c r="L6" s="229">
        <v>33893</v>
      </c>
      <c r="M6" s="229"/>
      <c r="N6" s="229">
        <v>345768</v>
      </c>
      <c r="O6" s="229"/>
      <c r="P6" s="229">
        <v>816958</v>
      </c>
      <c r="Q6" s="194"/>
      <c r="R6" s="230">
        <v>0</v>
      </c>
      <c r="S6" s="194"/>
      <c r="T6" s="230">
        <v>122361</v>
      </c>
      <c r="U6" s="194"/>
      <c r="V6" s="230">
        <v>4832426</v>
      </c>
      <c r="W6" s="32"/>
    </row>
    <row r="7" spans="1:23" ht="12.75" hidden="1" customHeight="1" x14ac:dyDescent="0.2">
      <c r="A7" s="231" t="s">
        <v>108</v>
      </c>
      <c r="B7" s="232"/>
      <c r="C7" s="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33">
        <v>-162643</v>
      </c>
      <c r="Q7" s="194"/>
      <c r="R7" s="233"/>
      <c r="S7" s="194"/>
      <c r="T7" s="230"/>
      <c r="U7" s="194"/>
      <c r="V7" s="230">
        <v>-162643</v>
      </c>
      <c r="W7" s="32"/>
    </row>
    <row r="8" spans="1:23" ht="12.75" hidden="1" customHeight="1" x14ac:dyDescent="0.2">
      <c r="A8" s="234" t="s">
        <v>109</v>
      </c>
      <c r="B8" s="231"/>
      <c r="C8" s="29"/>
      <c r="D8" s="229">
        <v>3202960</v>
      </c>
      <c r="E8" s="229"/>
      <c r="F8" s="229">
        <v>5792</v>
      </c>
      <c r="G8" s="229"/>
      <c r="H8" s="229">
        <v>303455</v>
      </c>
      <c r="I8" s="229"/>
      <c r="J8" s="229">
        <v>1239</v>
      </c>
      <c r="K8" s="229"/>
      <c r="L8" s="229">
        <v>33893</v>
      </c>
      <c r="M8" s="229">
        <v>0</v>
      </c>
      <c r="N8" s="229">
        <v>345768</v>
      </c>
      <c r="O8" s="229">
        <v>0</v>
      </c>
      <c r="P8" s="229">
        <v>654315</v>
      </c>
      <c r="Q8" s="229"/>
      <c r="R8" s="229">
        <v>0</v>
      </c>
      <c r="S8" s="229"/>
      <c r="T8" s="229">
        <v>122361</v>
      </c>
      <c r="U8" s="229"/>
      <c r="V8" s="229">
        <v>4669783</v>
      </c>
      <c r="W8" s="32"/>
    </row>
    <row r="9" spans="1:23" ht="7.5" hidden="1" customHeight="1" x14ac:dyDescent="0.2">
      <c r="A9" s="30"/>
      <c r="B9" s="227"/>
      <c r="C9" s="29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185"/>
      <c r="R9" s="233"/>
      <c r="S9" s="185"/>
      <c r="T9" s="233"/>
      <c r="U9" s="185"/>
      <c r="V9" s="233"/>
      <c r="W9" s="32"/>
    </row>
    <row r="10" spans="1:23" ht="11.25" hidden="1" customHeight="1" x14ac:dyDescent="0.2">
      <c r="A10" s="32" t="s">
        <v>110</v>
      </c>
      <c r="B10" s="227"/>
      <c r="C10" s="29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235"/>
      <c r="S10" s="236"/>
      <c r="T10" s="235">
        <v>100804</v>
      </c>
      <c r="U10" s="236"/>
      <c r="V10" s="235">
        <v>100804</v>
      </c>
      <c r="W10" s="32"/>
    </row>
    <row r="11" spans="1:23" ht="11.25" hidden="1" customHeight="1" x14ac:dyDescent="0.2">
      <c r="A11" s="32" t="s">
        <v>111</v>
      </c>
      <c r="B11" s="227">
        <v>19</v>
      </c>
      <c r="C11" s="29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  <c r="R11" s="235"/>
      <c r="S11" s="236"/>
      <c r="T11" s="235">
        <v>-96292</v>
      </c>
      <c r="U11" s="236"/>
      <c r="V11" s="235">
        <v>-96292</v>
      </c>
      <c r="W11" s="32"/>
    </row>
    <row r="12" spans="1:23" ht="11.25" hidden="1" customHeight="1" x14ac:dyDescent="0.2">
      <c r="A12" s="32" t="s">
        <v>112</v>
      </c>
      <c r="B12" s="227"/>
      <c r="C12" s="29"/>
      <c r="D12" s="235">
        <v>200384</v>
      </c>
      <c r="E12" s="235"/>
      <c r="F12" s="235"/>
      <c r="G12" s="235"/>
      <c r="H12" s="235"/>
      <c r="I12" s="235"/>
      <c r="J12" s="235"/>
      <c r="K12" s="235"/>
      <c r="L12" s="235">
        <v>-16228</v>
      </c>
      <c r="M12" s="235"/>
      <c r="N12" s="235"/>
      <c r="O12" s="235"/>
      <c r="P12" s="235">
        <v>-184155</v>
      </c>
      <c r="Q12" s="236"/>
      <c r="R12" s="235"/>
      <c r="S12" s="236"/>
      <c r="T12" s="235"/>
      <c r="U12" s="236"/>
      <c r="V12" s="235">
        <v>0</v>
      </c>
      <c r="W12" s="32"/>
    </row>
    <row r="13" spans="1:23" ht="11.25" hidden="1" customHeight="1" x14ac:dyDescent="0.2">
      <c r="A13" s="32" t="s">
        <v>102</v>
      </c>
      <c r="B13" s="227">
        <v>21</v>
      </c>
      <c r="C13" s="29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>
        <v>-345768</v>
      </c>
      <c r="O13" s="235"/>
      <c r="P13" s="235"/>
      <c r="Q13" s="236"/>
      <c r="R13" s="235"/>
      <c r="S13" s="236"/>
      <c r="T13" s="235"/>
      <c r="U13" s="236"/>
      <c r="V13" s="235">
        <v>-345768</v>
      </c>
      <c r="W13" s="32"/>
    </row>
    <row r="14" spans="1:23" ht="11.25" hidden="1" customHeight="1" x14ac:dyDescent="0.2">
      <c r="A14" s="32" t="s">
        <v>113</v>
      </c>
      <c r="B14" s="227">
        <v>21</v>
      </c>
      <c r="C14" s="29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  <c r="R14" s="235"/>
      <c r="S14" s="236"/>
      <c r="T14" s="235"/>
      <c r="U14" s="236"/>
      <c r="V14" s="235"/>
      <c r="W14" s="32"/>
    </row>
    <row r="15" spans="1:23" ht="11.25" hidden="1" customHeight="1" x14ac:dyDescent="0.2">
      <c r="A15" s="32" t="s">
        <v>114</v>
      </c>
      <c r="B15" s="227"/>
      <c r="C15" s="29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6"/>
      <c r="R15" s="235">
        <v>905360</v>
      </c>
      <c r="S15" s="236"/>
      <c r="T15" s="235"/>
      <c r="U15" s="236"/>
      <c r="V15" s="235">
        <v>905360</v>
      </c>
      <c r="W15" s="32"/>
    </row>
    <row r="16" spans="1:23" ht="11.25" hidden="1" customHeight="1" x14ac:dyDescent="0.2">
      <c r="A16" s="32" t="s">
        <v>115</v>
      </c>
      <c r="B16" s="227"/>
      <c r="C16" s="29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35"/>
      <c r="S16" s="236"/>
      <c r="T16" s="235"/>
      <c r="U16" s="236"/>
      <c r="V16" s="235"/>
      <c r="W16" s="32"/>
    </row>
    <row r="17" spans="1:23" ht="11.25" hidden="1" customHeight="1" x14ac:dyDescent="0.2">
      <c r="A17" s="32" t="s">
        <v>116</v>
      </c>
      <c r="B17" s="227">
        <v>21</v>
      </c>
      <c r="C17" s="29"/>
      <c r="D17" s="235"/>
      <c r="E17" s="235"/>
      <c r="F17" s="235"/>
      <c r="G17" s="235"/>
      <c r="H17" s="235">
        <v>45268</v>
      </c>
      <c r="I17" s="235"/>
      <c r="J17" s="235"/>
      <c r="K17" s="235"/>
      <c r="L17" s="235"/>
      <c r="M17" s="235"/>
      <c r="N17" s="235"/>
      <c r="O17" s="235"/>
      <c r="P17" s="235"/>
      <c r="Q17" s="236"/>
      <c r="R17" s="235">
        <v>-45268</v>
      </c>
      <c r="S17" s="236"/>
      <c r="T17" s="235"/>
      <c r="U17" s="236"/>
      <c r="V17" s="235">
        <v>0</v>
      </c>
      <c r="W17" s="32"/>
    </row>
    <row r="18" spans="1:23" ht="11.25" hidden="1" customHeight="1" x14ac:dyDescent="0.2">
      <c r="A18" s="32" t="s">
        <v>117</v>
      </c>
      <c r="B18" s="227">
        <v>21</v>
      </c>
      <c r="C18" s="29"/>
      <c r="D18" s="235"/>
      <c r="E18" s="235"/>
      <c r="F18" s="235"/>
      <c r="G18" s="235"/>
      <c r="H18" s="235"/>
      <c r="I18" s="235"/>
      <c r="J18" s="235"/>
      <c r="K18" s="235"/>
      <c r="L18" s="235">
        <v>24701</v>
      </c>
      <c r="M18" s="235"/>
      <c r="N18" s="235"/>
      <c r="O18" s="235"/>
      <c r="P18" s="235"/>
      <c r="Q18" s="236"/>
      <c r="R18" s="235">
        <v>-24701</v>
      </c>
      <c r="S18" s="236"/>
      <c r="T18" s="235"/>
      <c r="U18" s="236"/>
      <c r="V18" s="235">
        <v>0</v>
      </c>
      <c r="W18" s="32"/>
    </row>
    <row r="19" spans="1:23" ht="11.25" hidden="1" customHeight="1" x14ac:dyDescent="0.2">
      <c r="A19" s="32" t="s">
        <v>118</v>
      </c>
      <c r="B19" s="227">
        <v>21</v>
      </c>
      <c r="C19" s="29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>
        <v>835391</v>
      </c>
      <c r="O19" s="235"/>
      <c r="P19" s="235">
        <v>-218153</v>
      </c>
      <c r="Q19" s="236"/>
      <c r="R19" s="235">
        <v>-617238</v>
      </c>
      <c r="S19" s="236"/>
      <c r="T19" s="235"/>
      <c r="U19" s="236"/>
      <c r="V19" s="235">
        <v>0</v>
      </c>
      <c r="W19" s="32"/>
    </row>
    <row r="20" spans="1:23" ht="11.25" hidden="1" customHeight="1" x14ac:dyDescent="0.2">
      <c r="A20" s="32" t="s">
        <v>119</v>
      </c>
      <c r="B20" s="227">
        <v>21</v>
      </c>
      <c r="C20" s="29"/>
      <c r="D20" s="237"/>
      <c r="E20" s="235"/>
      <c r="F20" s="238"/>
      <c r="G20" s="235"/>
      <c r="H20" s="237"/>
      <c r="I20" s="235"/>
      <c r="J20" s="237"/>
      <c r="K20" s="235"/>
      <c r="L20" s="237"/>
      <c r="M20" s="235"/>
      <c r="N20" s="237"/>
      <c r="O20" s="235"/>
      <c r="P20" s="237"/>
      <c r="Q20" s="236"/>
      <c r="R20" s="237">
        <v>-218153</v>
      </c>
      <c r="S20" s="236"/>
      <c r="T20" s="237"/>
      <c r="U20" s="236"/>
      <c r="V20" s="237">
        <v>-218153</v>
      </c>
      <c r="W20" s="32"/>
    </row>
    <row r="21" spans="1:23" ht="12.75" hidden="1" customHeight="1" x14ac:dyDescent="0.2">
      <c r="A21" s="30" t="s">
        <v>120</v>
      </c>
      <c r="B21" s="227"/>
      <c r="C21" s="29"/>
      <c r="D21" s="239">
        <v>3403344.0307999998</v>
      </c>
      <c r="E21" s="240"/>
      <c r="F21" s="239">
        <v>5792.4247400000004</v>
      </c>
      <c r="G21" s="240"/>
      <c r="H21" s="239">
        <v>348722.04645000002</v>
      </c>
      <c r="I21" s="240"/>
      <c r="J21" s="239">
        <v>1238.7054000000001</v>
      </c>
      <c r="K21" s="240"/>
      <c r="L21" s="239">
        <v>42366.347600000001</v>
      </c>
      <c r="M21" s="240"/>
      <c r="N21" s="239">
        <v>835390.61563999997</v>
      </c>
      <c r="O21" s="240"/>
      <c r="P21" s="239">
        <v>252008</v>
      </c>
      <c r="Q21" s="240"/>
      <c r="R21" s="239">
        <v>0</v>
      </c>
      <c r="S21" s="240"/>
      <c r="T21" s="239">
        <v>126873.32163999999</v>
      </c>
      <c r="U21" s="240"/>
      <c r="V21" s="240">
        <v>5015735</v>
      </c>
      <c r="W21" s="227"/>
    </row>
    <row r="22" spans="1:23" ht="12.75" hidden="1" customHeight="1" x14ac:dyDescent="0.2">
      <c r="A22" s="32" t="s">
        <v>121</v>
      </c>
      <c r="B22" s="227" t="s">
        <v>122</v>
      </c>
      <c r="C22" s="29"/>
      <c r="D22" s="239"/>
      <c r="E22" s="230"/>
      <c r="F22" s="239"/>
      <c r="G22" s="230"/>
      <c r="H22" s="239"/>
      <c r="I22" s="230"/>
      <c r="J22" s="239"/>
      <c r="K22" s="230"/>
      <c r="L22" s="239"/>
      <c r="M22" s="230"/>
      <c r="N22" s="238">
        <v>-27873.773130000001</v>
      </c>
      <c r="O22" s="230"/>
      <c r="P22" s="239"/>
      <c r="Q22" s="230"/>
      <c r="R22" s="239"/>
      <c r="S22" s="230"/>
      <c r="T22" s="239"/>
      <c r="U22" s="230"/>
      <c r="V22" s="237">
        <v>-27873.773130000001</v>
      </c>
      <c r="W22" s="227"/>
    </row>
    <row r="23" spans="1:23" ht="12.75" hidden="1" customHeight="1" thickBot="1" x14ac:dyDescent="0.25">
      <c r="A23" s="30" t="s">
        <v>123</v>
      </c>
      <c r="B23" s="227"/>
      <c r="C23" s="29"/>
      <c r="D23" s="241">
        <v>3403344.0307999998</v>
      </c>
      <c r="E23" s="229">
        <v>0</v>
      </c>
      <c r="F23" s="241">
        <v>5792.4247400000004</v>
      </c>
      <c r="G23" s="229"/>
      <c r="H23" s="241">
        <v>348722.04645000002</v>
      </c>
      <c r="I23" s="229">
        <v>0</v>
      </c>
      <c r="J23" s="241">
        <v>1238.7054000000001</v>
      </c>
      <c r="K23" s="229">
        <v>0</v>
      </c>
      <c r="L23" s="241">
        <v>42366.347600000001</v>
      </c>
      <c r="M23" s="242">
        <v>0</v>
      </c>
      <c r="N23" s="241">
        <v>807516.84250999999</v>
      </c>
      <c r="O23" s="229">
        <v>0</v>
      </c>
      <c r="P23" s="241">
        <v>252008</v>
      </c>
      <c r="Q23" s="229"/>
      <c r="R23" s="241">
        <v>0</v>
      </c>
      <c r="S23" s="229">
        <v>0</v>
      </c>
      <c r="T23" s="241">
        <v>126873.32163999999</v>
      </c>
      <c r="U23" s="229">
        <v>0</v>
      </c>
      <c r="V23" s="241">
        <v>4987861.2268700004</v>
      </c>
      <c r="W23" s="227"/>
    </row>
    <row r="24" spans="1:23" hidden="1" x14ac:dyDescent="0.2">
      <c r="A24" s="32" t="s">
        <v>110</v>
      </c>
      <c r="B24" s="227"/>
      <c r="C24" s="29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185"/>
      <c r="R24" s="233"/>
      <c r="S24" s="185"/>
      <c r="T24" s="233">
        <v>314633.52923000004</v>
      </c>
      <c r="U24" s="185"/>
      <c r="V24" s="233">
        <v>314633.52923000004</v>
      </c>
      <c r="W24" s="32"/>
    </row>
    <row r="25" spans="1:23" hidden="1" x14ac:dyDescent="0.2">
      <c r="A25" s="32" t="s">
        <v>124</v>
      </c>
      <c r="B25" s="227">
        <v>18</v>
      </c>
      <c r="C25" s="29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185"/>
      <c r="R25" s="233"/>
      <c r="S25" s="185"/>
      <c r="T25" s="233">
        <v>30114.926359999998</v>
      </c>
      <c r="U25" s="185"/>
      <c r="V25" s="233">
        <v>30114.926359999998</v>
      </c>
      <c r="W25" s="32"/>
    </row>
    <row r="26" spans="1:23" hidden="1" x14ac:dyDescent="0.2">
      <c r="A26" s="32" t="s">
        <v>102</v>
      </c>
      <c r="B26" s="227" t="s">
        <v>125</v>
      </c>
      <c r="C26" s="29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>
        <v>-835390.61563999997</v>
      </c>
      <c r="O26" s="233"/>
      <c r="P26" s="233"/>
      <c r="Q26" s="185"/>
      <c r="R26" s="233"/>
      <c r="S26" s="185"/>
      <c r="T26" s="233"/>
      <c r="U26" s="185"/>
      <c r="V26" s="233">
        <v>-835390.61563999997</v>
      </c>
      <c r="W26" s="32"/>
    </row>
    <row r="27" spans="1:23" hidden="1" x14ac:dyDescent="0.2">
      <c r="A27" s="32" t="s">
        <v>113</v>
      </c>
      <c r="B27" s="227"/>
      <c r="C27" s="29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185"/>
      <c r="R27" s="233"/>
      <c r="S27" s="185"/>
      <c r="T27" s="233"/>
      <c r="U27" s="185"/>
      <c r="V27" s="233"/>
      <c r="W27" s="32"/>
    </row>
    <row r="28" spans="1:23" hidden="1" x14ac:dyDescent="0.2">
      <c r="A28" s="32" t="s">
        <v>114</v>
      </c>
      <c r="B28" s="227"/>
      <c r="C28" s="29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185"/>
      <c r="R28" s="233">
        <v>1032968.9181631665</v>
      </c>
      <c r="S28" s="185"/>
      <c r="T28" s="233"/>
      <c r="U28" s="185"/>
      <c r="V28" s="233">
        <v>1032968.9181631665</v>
      </c>
      <c r="W28" s="32"/>
    </row>
    <row r="29" spans="1:23" hidden="1" x14ac:dyDescent="0.2">
      <c r="A29" s="32" t="s">
        <v>126</v>
      </c>
      <c r="B29" s="227"/>
      <c r="C29" s="29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185"/>
      <c r="R29" s="233"/>
      <c r="S29" s="185"/>
      <c r="T29" s="233"/>
      <c r="U29" s="185"/>
      <c r="V29" s="233"/>
      <c r="W29" s="32"/>
    </row>
    <row r="30" spans="1:23" hidden="1" x14ac:dyDescent="0.2">
      <c r="A30" s="32" t="s">
        <v>116</v>
      </c>
      <c r="B30" s="227" t="s">
        <v>127</v>
      </c>
      <c r="C30" s="29"/>
      <c r="D30" s="233"/>
      <c r="E30" s="233"/>
      <c r="F30" s="233"/>
      <c r="G30" s="233"/>
      <c r="H30" s="130">
        <v>51648.445909999995</v>
      </c>
      <c r="I30" s="233"/>
      <c r="J30" s="233"/>
      <c r="K30" s="233"/>
      <c r="L30" s="233"/>
      <c r="M30" s="233"/>
      <c r="N30" s="233"/>
      <c r="O30" s="233"/>
      <c r="P30" s="233"/>
      <c r="Q30" s="185"/>
      <c r="R30" s="233">
        <v>-51648.445909999995</v>
      </c>
      <c r="S30" s="185"/>
      <c r="T30" s="233"/>
      <c r="U30" s="185"/>
      <c r="V30" s="233">
        <v>0</v>
      </c>
      <c r="W30" s="32"/>
    </row>
    <row r="31" spans="1:23" hidden="1" x14ac:dyDescent="0.2">
      <c r="A31" s="32" t="s">
        <v>117</v>
      </c>
      <c r="B31" s="227" t="s">
        <v>127</v>
      </c>
      <c r="C31" s="29"/>
      <c r="D31" s="233"/>
      <c r="E31" s="233"/>
      <c r="F31" s="233"/>
      <c r="G31" s="233"/>
      <c r="H31" s="233"/>
      <c r="I31" s="233"/>
      <c r="J31" s="233"/>
      <c r="K31" s="233"/>
      <c r="L31" s="233">
        <v>31574.79048</v>
      </c>
      <c r="M31" s="233"/>
      <c r="N31" s="233"/>
      <c r="O31" s="233"/>
      <c r="P31" s="233"/>
      <c r="Q31" s="185"/>
      <c r="R31" s="233">
        <v>-31574.79048</v>
      </c>
      <c r="S31" s="185"/>
      <c r="T31" s="233"/>
      <c r="U31" s="185"/>
      <c r="V31" s="233">
        <v>0</v>
      </c>
      <c r="W31" s="32"/>
    </row>
    <row r="32" spans="1:23" hidden="1" x14ac:dyDescent="0.2">
      <c r="A32" s="32" t="s">
        <v>118</v>
      </c>
      <c r="B32" s="227" t="s">
        <v>125</v>
      </c>
      <c r="C32" s="29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>
        <v>948411.26628999994</v>
      </c>
      <c r="O32" s="233"/>
      <c r="P32" s="233">
        <v>-252008</v>
      </c>
      <c r="Q32" s="185"/>
      <c r="R32" s="233">
        <v>-696403.73913999996</v>
      </c>
      <c r="S32" s="185"/>
      <c r="T32" s="233"/>
      <c r="U32" s="185"/>
      <c r="V32" s="233">
        <v>0</v>
      </c>
      <c r="W32" s="32"/>
    </row>
    <row r="33" spans="1:23" ht="13.5" hidden="1" thickBot="1" x14ac:dyDescent="0.25">
      <c r="A33" s="32" t="s">
        <v>128</v>
      </c>
      <c r="B33" s="227" t="s">
        <v>125</v>
      </c>
      <c r="C33" s="29"/>
      <c r="D33" s="243"/>
      <c r="E33" s="233"/>
      <c r="F33" s="244"/>
      <c r="G33" s="233"/>
      <c r="H33" s="243"/>
      <c r="I33" s="233"/>
      <c r="J33" s="243"/>
      <c r="K33" s="233"/>
      <c r="L33" s="243"/>
      <c r="M33" s="233"/>
      <c r="N33" s="243"/>
      <c r="O33" s="233"/>
      <c r="P33" s="243"/>
      <c r="Q33" s="185"/>
      <c r="R33" s="243">
        <v>-253341.94263316656</v>
      </c>
      <c r="S33" s="185"/>
      <c r="T33" s="243"/>
      <c r="U33" s="185"/>
      <c r="V33" s="243">
        <v>-253341.94263316656</v>
      </c>
      <c r="W33" s="32"/>
    </row>
    <row r="34" spans="1:23" ht="13.5" hidden="1" thickBot="1" x14ac:dyDescent="0.25">
      <c r="A34" s="30" t="s">
        <v>129</v>
      </c>
      <c r="B34" s="227"/>
      <c r="C34" s="29"/>
      <c r="D34" s="241">
        <v>3403344.0307999998</v>
      </c>
      <c r="E34" s="229"/>
      <c r="F34" s="241">
        <v>5792.4247400000004</v>
      </c>
      <c r="G34" s="229"/>
      <c r="H34" s="241">
        <v>400370.49236000003</v>
      </c>
      <c r="I34" s="229"/>
      <c r="J34" s="241">
        <v>1238.7054000000001</v>
      </c>
      <c r="K34" s="229"/>
      <c r="L34" s="241">
        <v>73941.138080000004</v>
      </c>
      <c r="M34" s="229"/>
      <c r="N34" s="241">
        <v>920537.49315999995</v>
      </c>
      <c r="O34" s="229"/>
      <c r="P34" s="241">
        <v>0</v>
      </c>
      <c r="Q34" s="229"/>
      <c r="R34" s="245">
        <v>0</v>
      </c>
      <c r="S34" s="229"/>
      <c r="T34" s="241">
        <v>471621.77723000001</v>
      </c>
      <c r="U34" s="229"/>
      <c r="V34" s="241">
        <v>5276846.0423500007</v>
      </c>
      <c r="W34" s="227"/>
    </row>
    <row r="35" spans="1:23" ht="6" hidden="1" customHeight="1" thickTop="1" x14ac:dyDescent="0.2"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</row>
    <row r="36" spans="1:23" hidden="1" x14ac:dyDescent="0.2">
      <c r="A36" s="32" t="s">
        <v>110</v>
      </c>
      <c r="B36" s="227">
        <v>13</v>
      </c>
      <c r="C36" s="29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185"/>
      <c r="R36" s="233"/>
      <c r="S36" s="185"/>
      <c r="T36" s="233">
        <v>-240848.75009000005</v>
      </c>
      <c r="U36" s="185"/>
      <c r="V36" s="233">
        <v>-240848.75009000005</v>
      </c>
      <c r="W36" s="32"/>
    </row>
    <row r="37" spans="1:23" hidden="1" x14ac:dyDescent="0.2">
      <c r="A37" s="32" t="s">
        <v>130</v>
      </c>
      <c r="B37" s="227"/>
      <c r="C37" s="29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185"/>
      <c r="R37" s="233"/>
      <c r="S37" s="185"/>
      <c r="T37" s="233">
        <v>-155571.13500000001</v>
      </c>
      <c r="U37" s="185"/>
      <c r="V37" s="233">
        <v>-155571.13500000001</v>
      </c>
      <c r="W37" s="32"/>
    </row>
    <row r="38" spans="1:23" ht="12.75" hidden="1" customHeight="1" x14ac:dyDescent="0.2">
      <c r="A38" s="32" t="s">
        <v>131</v>
      </c>
      <c r="B38" s="227"/>
      <c r="C38" s="29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185"/>
      <c r="R38" s="233"/>
      <c r="S38" s="185"/>
      <c r="T38" s="233"/>
      <c r="U38" s="185"/>
      <c r="V38" s="233">
        <v>0</v>
      </c>
      <c r="W38" s="32"/>
    </row>
    <row r="39" spans="1:23" hidden="1" x14ac:dyDescent="0.2">
      <c r="A39" s="32" t="s">
        <v>102</v>
      </c>
      <c r="B39" s="227"/>
      <c r="C39" s="29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>
        <v>-948411.26628999994</v>
      </c>
      <c r="O39" s="233"/>
      <c r="P39" s="233"/>
      <c r="Q39" s="185"/>
      <c r="R39" s="233"/>
      <c r="S39" s="185"/>
      <c r="T39" s="233"/>
      <c r="U39" s="185"/>
      <c r="V39" s="233">
        <v>-948411.26628999994</v>
      </c>
      <c r="W39" s="32"/>
    </row>
    <row r="40" spans="1:23" ht="12.75" hidden="1" customHeight="1" x14ac:dyDescent="0.2">
      <c r="A40" s="32" t="s">
        <v>113</v>
      </c>
      <c r="B40" s="227">
        <v>20</v>
      </c>
      <c r="C40" s="29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185"/>
      <c r="R40" s="233"/>
      <c r="S40" s="185"/>
      <c r="T40" s="233"/>
      <c r="U40" s="185"/>
      <c r="V40" s="233"/>
      <c r="W40" s="32"/>
    </row>
    <row r="41" spans="1:23" hidden="1" x14ac:dyDescent="0.2">
      <c r="A41" s="30" t="s">
        <v>114</v>
      </c>
      <c r="B41" s="246"/>
      <c r="C41" s="25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194"/>
      <c r="R41" s="233">
        <v>313782.97181000002</v>
      </c>
      <c r="S41" s="194"/>
      <c r="T41" s="229"/>
      <c r="U41" s="194"/>
      <c r="V41" s="233">
        <v>313782.97180769173</v>
      </c>
      <c r="W41" s="32"/>
    </row>
    <row r="42" spans="1:23" hidden="1" x14ac:dyDescent="0.2">
      <c r="A42" s="32" t="s">
        <v>126</v>
      </c>
      <c r="B42" s="227"/>
      <c r="C42" s="29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185"/>
      <c r="R42" s="233"/>
      <c r="S42" s="185"/>
      <c r="T42" s="233"/>
      <c r="U42" s="185"/>
      <c r="V42" s="233">
        <v>0</v>
      </c>
      <c r="W42" s="32"/>
    </row>
    <row r="43" spans="1:23" hidden="1" x14ac:dyDescent="0.2">
      <c r="A43" s="32" t="s">
        <v>116</v>
      </c>
      <c r="B43" s="227"/>
      <c r="C43" s="29"/>
      <c r="D43" s="233"/>
      <c r="E43" s="233"/>
      <c r="F43" s="233"/>
      <c r="G43" s="233"/>
      <c r="H43" s="130">
        <v>14295.45968</v>
      </c>
      <c r="I43" s="233"/>
      <c r="J43" s="233"/>
      <c r="K43" s="233"/>
      <c r="L43" s="233"/>
      <c r="M43" s="233"/>
      <c r="N43" s="233"/>
      <c r="O43" s="233"/>
      <c r="P43" s="233"/>
      <c r="Q43" s="185"/>
      <c r="R43" s="233">
        <v>-14295.45968</v>
      </c>
      <c r="S43" s="185"/>
      <c r="T43" s="233"/>
      <c r="U43" s="185"/>
      <c r="V43" s="233">
        <v>0</v>
      </c>
      <c r="W43" s="32"/>
    </row>
    <row r="44" spans="1:23" hidden="1" x14ac:dyDescent="0.2">
      <c r="A44" s="32" t="s">
        <v>117</v>
      </c>
      <c r="B44" s="227"/>
      <c r="C44" s="29"/>
      <c r="D44" s="233"/>
      <c r="E44" s="233"/>
      <c r="F44" s="233"/>
      <c r="G44" s="233"/>
      <c r="H44" s="233"/>
      <c r="I44" s="233"/>
      <c r="J44" s="233"/>
      <c r="K44" s="233"/>
      <c r="L44" s="233">
        <v>9254.8491799999993</v>
      </c>
      <c r="M44" s="233"/>
      <c r="N44" s="233"/>
      <c r="O44" s="233"/>
      <c r="P44" s="233"/>
      <c r="Q44" s="185"/>
      <c r="R44" s="233">
        <v>-9254.8491900000008</v>
      </c>
      <c r="S44" s="185"/>
      <c r="T44" s="233"/>
      <c r="U44" s="185"/>
      <c r="V44" s="233">
        <v>0</v>
      </c>
      <c r="W44" s="32"/>
    </row>
    <row r="45" spans="1:23" hidden="1" x14ac:dyDescent="0.2">
      <c r="A45" s="32" t="s">
        <v>118</v>
      </c>
      <c r="B45" s="227"/>
      <c r="C45" s="29"/>
      <c r="D45" s="233"/>
      <c r="E45" s="233"/>
      <c r="F45" s="233"/>
      <c r="G45" s="233"/>
      <c r="H45" s="233"/>
      <c r="I45" s="233"/>
      <c r="J45" s="130">
        <v>-1238.7053999999998</v>
      </c>
      <c r="K45" s="233"/>
      <c r="L45" s="233"/>
      <c r="M45" s="233"/>
      <c r="N45" s="233">
        <v>53696.19543</v>
      </c>
      <c r="O45" s="233"/>
      <c r="P45" s="233">
        <v>0</v>
      </c>
      <c r="Q45" s="185"/>
      <c r="R45" s="233">
        <v>-52457.495000000003</v>
      </c>
      <c r="S45" s="185"/>
      <c r="T45" s="233"/>
      <c r="U45" s="185"/>
      <c r="V45" s="233">
        <v>0</v>
      </c>
      <c r="W45" s="32"/>
    </row>
    <row r="46" spans="1:23" hidden="1" x14ac:dyDescent="0.2">
      <c r="A46" s="32" t="s">
        <v>128</v>
      </c>
      <c r="B46" s="227"/>
      <c r="C46" s="29"/>
      <c r="D46" s="247"/>
      <c r="E46" s="233"/>
      <c r="F46" s="203"/>
      <c r="G46" s="233"/>
      <c r="H46" s="247"/>
      <c r="I46" s="233"/>
      <c r="J46" s="247"/>
      <c r="K46" s="233"/>
      <c r="L46" s="247"/>
      <c r="M46" s="233"/>
      <c r="N46" s="247"/>
      <c r="O46" s="233"/>
      <c r="P46" s="247"/>
      <c r="Q46" s="185"/>
      <c r="R46" s="247">
        <v>-237775.16791999998</v>
      </c>
      <c r="S46" s="185"/>
      <c r="T46" s="247"/>
      <c r="U46" s="185"/>
      <c r="V46" s="247">
        <v>-237775.16791999998</v>
      </c>
      <c r="W46" s="32"/>
    </row>
    <row r="47" spans="1:23" hidden="1" x14ac:dyDescent="0.2">
      <c r="A47" s="248" t="s">
        <v>132</v>
      </c>
      <c r="B47" s="249"/>
      <c r="C47" s="250"/>
      <c r="D47" s="251">
        <v>3403344.0307999998</v>
      </c>
      <c r="E47" s="252"/>
      <c r="F47" s="251">
        <v>5792.4247400000004</v>
      </c>
      <c r="G47" s="252"/>
      <c r="H47" s="251">
        <v>414665.95204</v>
      </c>
      <c r="I47" s="252"/>
      <c r="J47" s="251">
        <v>0</v>
      </c>
      <c r="K47" s="252"/>
      <c r="L47" s="251">
        <v>83195.987260000009</v>
      </c>
      <c r="M47" s="252"/>
      <c r="N47" s="251">
        <v>25822.422300000013</v>
      </c>
      <c r="O47" s="252"/>
      <c r="P47" s="251">
        <v>0</v>
      </c>
      <c r="Q47" s="252"/>
      <c r="R47" s="251">
        <v>0</v>
      </c>
      <c r="S47" s="252"/>
      <c r="T47" s="251">
        <v>75201.892139999953</v>
      </c>
      <c r="U47" s="252"/>
      <c r="V47" s="251">
        <v>4008022.69485769</v>
      </c>
      <c r="W47" s="227"/>
    </row>
    <row r="48" spans="1:23" ht="6.75" hidden="1" customHeight="1" x14ac:dyDescent="0.2">
      <c r="V48" s="212"/>
    </row>
    <row r="49" spans="1:23" hidden="1" x14ac:dyDescent="0.2">
      <c r="A49" s="32" t="s">
        <v>110</v>
      </c>
      <c r="B49" s="227">
        <v>13</v>
      </c>
      <c r="C49" s="29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185"/>
      <c r="R49" s="233"/>
      <c r="S49" s="185"/>
      <c r="T49" s="233">
        <v>17504.351549999999</v>
      </c>
      <c r="U49" s="185"/>
      <c r="V49" s="233">
        <f>SUM(D49:T49)</f>
        <v>17504.351549999999</v>
      </c>
      <c r="W49" s="32"/>
    </row>
    <row r="50" spans="1:23" hidden="1" x14ac:dyDescent="0.2">
      <c r="A50" s="32" t="s">
        <v>130</v>
      </c>
      <c r="B50" s="227"/>
      <c r="C50" s="29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185"/>
      <c r="R50" s="233"/>
      <c r="S50" s="185"/>
      <c r="T50" s="233">
        <v>133631.31416000001</v>
      </c>
      <c r="U50" s="185"/>
      <c r="V50" s="233">
        <f>SUM(D50:T50)</f>
        <v>133631.31416000001</v>
      </c>
      <c r="W50" s="32"/>
    </row>
    <row r="51" spans="1:23" hidden="1" x14ac:dyDescent="0.2">
      <c r="A51" s="32" t="s">
        <v>131</v>
      </c>
      <c r="B51" s="227"/>
      <c r="C51" s="29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185"/>
      <c r="R51" s="233"/>
      <c r="S51" s="185"/>
      <c r="T51" s="233"/>
      <c r="U51" s="185"/>
      <c r="V51" s="233"/>
      <c r="W51" s="32"/>
    </row>
    <row r="52" spans="1:23" hidden="1" x14ac:dyDescent="0.2">
      <c r="A52" s="32" t="s">
        <v>102</v>
      </c>
      <c r="B52" s="227"/>
      <c r="C52" s="29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>
        <v>-25822.422299999998</v>
      </c>
      <c r="O52" s="233"/>
      <c r="P52" s="233"/>
      <c r="Q52" s="185"/>
      <c r="R52" s="233"/>
      <c r="S52" s="185"/>
      <c r="T52" s="233"/>
      <c r="U52" s="185"/>
      <c r="V52" s="233">
        <f>SUM(D52:T52)</f>
        <v>-25822.422299999998</v>
      </c>
      <c r="W52" s="32"/>
    </row>
    <row r="53" spans="1:23" hidden="1" x14ac:dyDescent="0.2">
      <c r="A53" s="32" t="s">
        <v>113</v>
      </c>
      <c r="B53" s="227"/>
      <c r="C53" s="29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185"/>
      <c r="R53" s="233"/>
      <c r="S53" s="185"/>
      <c r="T53" s="233"/>
      <c r="U53" s="185"/>
      <c r="V53" s="233"/>
      <c r="W53" s="32"/>
    </row>
    <row r="54" spans="1:23" hidden="1" x14ac:dyDescent="0.2">
      <c r="A54" s="30" t="s">
        <v>114</v>
      </c>
      <c r="B54" s="246"/>
      <c r="C54" s="25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194"/>
      <c r="R54" s="233">
        <v>121226.56842</v>
      </c>
      <c r="S54" s="194"/>
      <c r="T54" s="229"/>
      <c r="U54" s="194"/>
      <c r="V54" s="233">
        <f t="shared" ref="V54:V60" si="0">SUM(D54:T54)</f>
        <v>121226.56842</v>
      </c>
      <c r="W54" s="32"/>
    </row>
    <row r="55" spans="1:23" hidden="1" x14ac:dyDescent="0.2">
      <c r="A55" s="32" t="s">
        <v>126</v>
      </c>
      <c r="B55" s="227"/>
      <c r="C55" s="29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185"/>
      <c r="R55" s="233"/>
      <c r="S55" s="185"/>
      <c r="T55" s="233"/>
      <c r="U55" s="185"/>
      <c r="V55" s="233">
        <f t="shared" si="0"/>
        <v>0</v>
      </c>
      <c r="W55" s="32"/>
    </row>
    <row r="56" spans="1:23" hidden="1" x14ac:dyDescent="0.2">
      <c r="A56" s="32" t="s">
        <v>116</v>
      </c>
      <c r="B56" s="227"/>
      <c r="C56" s="29"/>
      <c r="D56" s="233"/>
      <c r="E56" s="233"/>
      <c r="F56" s="233"/>
      <c r="G56" s="233"/>
      <c r="H56" s="130">
        <f>R56*-1</f>
        <v>6061.3284199999998</v>
      </c>
      <c r="I56" s="233"/>
      <c r="J56" s="233"/>
      <c r="K56" s="233"/>
      <c r="L56" s="233"/>
      <c r="M56" s="233"/>
      <c r="N56" s="233"/>
      <c r="O56" s="233"/>
      <c r="P56" s="233"/>
      <c r="Q56" s="185"/>
      <c r="R56" s="233">
        <v>-6061.3284199999998</v>
      </c>
      <c r="S56" s="185"/>
      <c r="T56" s="233"/>
      <c r="U56" s="185"/>
      <c r="V56" s="233">
        <f t="shared" si="0"/>
        <v>0</v>
      </c>
      <c r="W56" s="32"/>
    </row>
    <row r="57" spans="1:23" hidden="1" x14ac:dyDescent="0.2">
      <c r="A57" s="32" t="s">
        <v>117</v>
      </c>
      <c r="B57" s="227"/>
      <c r="C57" s="29"/>
      <c r="D57" s="233"/>
      <c r="E57" s="233"/>
      <c r="F57" s="233"/>
      <c r="G57" s="233"/>
      <c r="H57" s="233"/>
      <c r="I57" s="233"/>
      <c r="J57" s="233"/>
      <c r="K57" s="233"/>
      <c r="L57" s="233">
        <f>R57*-1</f>
        <v>4456.8709799999997</v>
      </c>
      <c r="M57" s="233"/>
      <c r="N57" s="233"/>
      <c r="O57" s="233"/>
      <c r="P57" s="233"/>
      <c r="Q57" s="185"/>
      <c r="R57" s="233">
        <v>-4456.8709799999997</v>
      </c>
      <c r="S57" s="185"/>
      <c r="T57" s="233"/>
      <c r="U57" s="185"/>
      <c r="V57" s="233">
        <f t="shared" si="0"/>
        <v>0</v>
      </c>
      <c r="W57" s="32"/>
    </row>
    <row r="58" spans="1:23" hidden="1" x14ac:dyDescent="0.2">
      <c r="A58" s="32" t="s">
        <v>118</v>
      </c>
      <c r="B58" s="227">
        <v>19</v>
      </c>
      <c r="C58" s="29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>
        <f>R58*-1</f>
        <v>83031.276769999997</v>
      </c>
      <c r="O58" s="233"/>
      <c r="Q58" s="185"/>
      <c r="R58" s="233">
        <v>-83031.276769999997</v>
      </c>
      <c r="S58" s="185"/>
      <c r="T58" s="233"/>
      <c r="U58" s="185"/>
      <c r="V58" s="233">
        <f t="shared" si="0"/>
        <v>0</v>
      </c>
      <c r="W58" s="32"/>
    </row>
    <row r="59" spans="1:23" hidden="1" x14ac:dyDescent="0.2">
      <c r="A59" s="32" t="s">
        <v>118</v>
      </c>
      <c r="B59" s="227" t="s">
        <v>125</v>
      </c>
      <c r="C59" s="29"/>
      <c r="D59" s="233"/>
      <c r="E59" s="233"/>
      <c r="F59" s="233"/>
      <c r="G59" s="233"/>
      <c r="H59" s="233"/>
      <c r="I59" s="233"/>
      <c r="J59" s="130"/>
      <c r="K59" s="233"/>
      <c r="L59" s="233"/>
      <c r="M59" s="233"/>
      <c r="N59" s="233"/>
      <c r="O59" s="233"/>
      <c r="P59" s="233"/>
      <c r="Q59" s="185"/>
      <c r="R59" s="233">
        <v>0</v>
      </c>
      <c r="S59" s="185"/>
      <c r="T59" s="233"/>
      <c r="U59" s="185"/>
      <c r="V59" s="233">
        <f t="shared" si="0"/>
        <v>0</v>
      </c>
      <c r="W59" s="32"/>
    </row>
    <row r="60" spans="1:23" ht="11.25" hidden="1" customHeight="1" x14ac:dyDescent="0.2">
      <c r="A60" s="32" t="s">
        <v>133</v>
      </c>
      <c r="B60" s="227">
        <v>19</v>
      </c>
      <c r="C60" s="29"/>
      <c r="D60" s="247"/>
      <c r="E60" s="233"/>
      <c r="F60" s="203"/>
      <c r="G60" s="233"/>
      <c r="H60" s="247"/>
      <c r="I60" s="233"/>
      <c r="J60" s="247"/>
      <c r="K60" s="233"/>
      <c r="L60" s="247"/>
      <c r="M60" s="233"/>
      <c r="N60" s="247"/>
      <c r="O60" s="233"/>
      <c r="P60" s="247"/>
      <c r="Q60" s="185"/>
      <c r="R60" s="247">
        <v>-27677.092250000002</v>
      </c>
      <c r="S60" s="185"/>
      <c r="T60" s="247"/>
      <c r="U60" s="185"/>
      <c r="V60" s="247">
        <f t="shared" si="0"/>
        <v>-27677.092250000002</v>
      </c>
      <c r="W60" s="32"/>
    </row>
    <row r="61" spans="1:23" ht="5.25" customHeight="1" x14ac:dyDescent="0.2">
      <c r="A61" s="32"/>
      <c r="B61" s="227"/>
      <c r="C61" s="29"/>
      <c r="D61" s="247"/>
      <c r="E61" s="233"/>
      <c r="F61" s="203"/>
      <c r="G61" s="233"/>
      <c r="H61" s="247"/>
      <c r="I61" s="233"/>
      <c r="J61" s="247"/>
      <c r="K61" s="233"/>
      <c r="L61" s="247"/>
      <c r="M61" s="233"/>
      <c r="N61" s="247"/>
      <c r="O61" s="233"/>
      <c r="P61" s="247"/>
      <c r="Q61" s="185"/>
      <c r="R61" s="247"/>
      <c r="S61" s="185"/>
      <c r="T61" s="247"/>
      <c r="U61" s="185"/>
      <c r="V61" s="247"/>
      <c r="W61" s="32"/>
    </row>
    <row r="62" spans="1:23" x14ac:dyDescent="0.2">
      <c r="A62" s="253" t="s">
        <v>134</v>
      </c>
      <c r="B62" s="249"/>
      <c r="C62" s="250"/>
      <c r="D62" s="254">
        <f>SUM(D47:D60)</f>
        <v>3403344.0307999998</v>
      </c>
      <c r="E62" s="255"/>
      <c r="F62" s="254">
        <f>SUM(F47:F60)</f>
        <v>5792.4247400000004</v>
      </c>
      <c r="G62" s="255"/>
      <c r="H62" s="254">
        <f>SUM(H47:H60)</f>
        <v>420727.28045999998</v>
      </c>
      <c r="I62" s="255"/>
      <c r="J62" s="254">
        <f>SUM(J47:J60)</f>
        <v>0</v>
      </c>
      <c r="K62" s="255"/>
      <c r="L62" s="254">
        <f>SUM(L47:L60)</f>
        <v>87652.858240000001</v>
      </c>
      <c r="M62" s="255"/>
      <c r="N62" s="254">
        <f>SUM(N47:N60)</f>
        <v>83031.276770000011</v>
      </c>
      <c r="O62" s="255"/>
      <c r="P62" s="254">
        <f>SUM(P47:P60)</f>
        <v>0</v>
      </c>
      <c r="Q62" s="255"/>
      <c r="R62" s="254">
        <f>SUM(R47:R60)</f>
        <v>0</v>
      </c>
      <c r="S62" s="255"/>
      <c r="T62" s="254">
        <f>SUM(T47:T60)</f>
        <v>226337.55784999995</v>
      </c>
      <c r="U62" s="255"/>
      <c r="V62" s="254">
        <f>SUM(V47:V60)</f>
        <v>4226885.4144376898</v>
      </c>
      <c r="W62" s="227"/>
    </row>
    <row r="63" spans="1:23" ht="6" customHeight="1" x14ac:dyDescent="0.2">
      <c r="A63" s="256"/>
      <c r="B63" s="257"/>
      <c r="C63" s="258"/>
      <c r="D63" s="190"/>
      <c r="E63" s="259"/>
      <c r="F63" s="190"/>
      <c r="G63" s="259"/>
      <c r="H63" s="190"/>
      <c r="I63" s="259"/>
      <c r="J63" s="190"/>
      <c r="K63" s="259"/>
      <c r="L63" s="190"/>
      <c r="M63" s="259"/>
      <c r="N63" s="190"/>
      <c r="O63" s="259"/>
      <c r="P63" s="190"/>
      <c r="Q63" s="259"/>
      <c r="R63" s="190"/>
      <c r="S63" s="259"/>
      <c r="T63" s="190"/>
      <c r="U63" s="259"/>
      <c r="V63" s="190"/>
      <c r="W63" s="227"/>
    </row>
    <row r="64" spans="1:23" ht="6" customHeight="1" x14ac:dyDescent="0.2">
      <c r="A64" s="256"/>
      <c r="B64" s="257"/>
      <c r="C64" s="258"/>
      <c r="D64" s="190"/>
      <c r="E64" s="259"/>
      <c r="F64" s="190"/>
      <c r="G64" s="259"/>
      <c r="H64" s="190"/>
      <c r="I64" s="259"/>
      <c r="J64" s="190"/>
      <c r="K64" s="259"/>
      <c r="L64" s="190"/>
      <c r="M64" s="259"/>
      <c r="N64" s="190"/>
      <c r="O64" s="259"/>
      <c r="P64" s="190"/>
      <c r="Q64" s="259"/>
      <c r="R64" s="190"/>
      <c r="S64" s="259"/>
      <c r="T64" s="190"/>
      <c r="U64" s="259"/>
      <c r="V64" s="190"/>
      <c r="W64" s="227"/>
    </row>
    <row r="65" spans="1:24" x14ac:dyDescent="0.2">
      <c r="A65" s="32" t="s">
        <v>110</v>
      </c>
      <c r="B65" s="227"/>
      <c r="C65" s="29"/>
      <c r="D65" s="233">
        <v>0</v>
      </c>
      <c r="E65" s="233">
        <v>0</v>
      </c>
      <c r="F65" s="233">
        <v>0</v>
      </c>
      <c r="G65" s="233">
        <v>0</v>
      </c>
      <c r="H65" s="233">
        <v>0</v>
      </c>
      <c r="I65" s="233">
        <v>0</v>
      </c>
      <c r="J65" s="233">
        <v>0</v>
      </c>
      <c r="K65" s="233">
        <v>0</v>
      </c>
      <c r="L65" s="233">
        <v>0</v>
      </c>
      <c r="M65" s="233">
        <v>0</v>
      </c>
      <c r="N65" s="233">
        <v>0</v>
      </c>
      <c r="O65" s="233">
        <v>0</v>
      </c>
      <c r="P65" s="233">
        <v>0</v>
      </c>
      <c r="Q65" s="233">
        <v>0</v>
      </c>
      <c r="R65" s="233">
        <v>0</v>
      </c>
      <c r="S65" s="233">
        <v>0</v>
      </c>
      <c r="T65" s="233">
        <v>176274</v>
      </c>
      <c r="U65" s="185"/>
      <c r="V65" s="233">
        <f t="shared" ref="V65:V74" si="1">SUM(D65:T65)</f>
        <v>176274</v>
      </c>
      <c r="W65" s="32"/>
    </row>
    <row r="66" spans="1:24" x14ac:dyDescent="0.2">
      <c r="A66" s="32" t="s">
        <v>135</v>
      </c>
      <c r="B66" s="227"/>
      <c r="C66" s="29"/>
      <c r="D66" s="233">
        <v>0</v>
      </c>
      <c r="E66" s="233">
        <v>0</v>
      </c>
      <c r="F66" s="233">
        <v>0</v>
      </c>
      <c r="G66" s="233">
        <v>0</v>
      </c>
      <c r="H66" s="233">
        <v>0</v>
      </c>
      <c r="I66" s="233">
        <v>0</v>
      </c>
      <c r="J66" s="233">
        <v>0</v>
      </c>
      <c r="K66" s="233">
        <v>0</v>
      </c>
      <c r="L66" s="233">
        <v>0</v>
      </c>
      <c r="M66" s="233">
        <v>0</v>
      </c>
      <c r="N66" s="233">
        <v>0</v>
      </c>
      <c r="O66" s="233">
        <v>0</v>
      </c>
      <c r="P66" s="233">
        <v>0</v>
      </c>
      <c r="Q66" s="185"/>
      <c r="R66" s="233">
        <v>0</v>
      </c>
      <c r="S66" s="185"/>
      <c r="T66" s="233">
        <v>-48901.530209999997</v>
      </c>
      <c r="U66" s="185"/>
      <c r="V66" s="233">
        <f t="shared" si="1"/>
        <v>-48901.530209999997</v>
      </c>
      <c r="W66" s="32"/>
    </row>
    <row r="67" spans="1:24" x14ac:dyDescent="0.2">
      <c r="A67" s="32" t="s">
        <v>136</v>
      </c>
      <c r="B67" s="227"/>
      <c r="C67" s="29"/>
      <c r="D67" s="233">
        <v>0</v>
      </c>
      <c r="E67" s="233">
        <v>0</v>
      </c>
      <c r="F67" s="233">
        <v>0</v>
      </c>
      <c r="G67" s="233">
        <v>0</v>
      </c>
      <c r="H67" s="233">
        <v>0</v>
      </c>
      <c r="I67" s="233">
        <v>0</v>
      </c>
      <c r="J67" s="233">
        <v>0</v>
      </c>
      <c r="K67" s="233">
        <v>0</v>
      </c>
      <c r="L67" s="233">
        <v>0</v>
      </c>
      <c r="M67" s="233">
        <v>0</v>
      </c>
      <c r="N67" s="233">
        <v>0</v>
      </c>
      <c r="O67" s="233">
        <v>0</v>
      </c>
      <c r="P67" s="233">
        <v>0</v>
      </c>
      <c r="Q67" s="185"/>
      <c r="R67" s="233">
        <v>-29553.7533</v>
      </c>
      <c r="S67" s="185"/>
      <c r="T67" s="233">
        <v>0</v>
      </c>
      <c r="U67" s="185"/>
      <c r="V67" s="233">
        <f t="shared" si="1"/>
        <v>-29553.7533</v>
      </c>
      <c r="W67" s="32"/>
    </row>
    <row r="68" spans="1:24" x14ac:dyDescent="0.2">
      <c r="A68" s="32" t="s">
        <v>102</v>
      </c>
      <c r="B68" s="227"/>
      <c r="C68" s="29"/>
      <c r="D68" s="233">
        <v>0</v>
      </c>
      <c r="E68" s="233">
        <v>0</v>
      </c>
      <c r="F68" s="233">
        <v>0</v>
      </c>
      <c r="G68" s="233">
        <v>0</v>
      </c>
      <c r="H68" s="233">
        <v>0</v>
      </c>
      <c r="I68" s="233">
        <v>0</v>
      </c>
      <c r="J68" s="233">
        <v>0</v>
      </c>
      <c r="K68" s="233">
        <v>0</v>
      </c>
      <c r="L68" s="233">
        <v>0</v>
      </c>
      <c r="M68" s="233">
        <v>0</v>
      </c>
      <c r="N68" s="233">
        <f>-N62</f>
        <v>-83031.276770000011</v>
      </c>
      <c r="O68" s="233">
        <v>0</v>
      </c>
      <c r="P68" s="233">
        <v>0</v>
      </c>
      <c r="Q68" s="233">
        <v>0</v>
      </c>
      <c r="R68" s="233">
        <v>0</v>
      </c>
      <c r="S68" s="233">
        <v>0</v>
      </c>
      <c r="T68" s="233">
        <v>0</v>
      </c>
      <c r="U68" s="233">
        <v>0</v>
      </c>
      <c r="V68" s="233">
        <f t="shared" si="1"/>
        <v>-83031.276770000011</v>
      </c>
      <c r="W68" s="32"/>
    </row>
    <row r="69" spans="1:24" x14ac:dyDescent="0.2">
      <c r="A69" s="30" t="s">
        <v>137</v>
      </c>
      <c r="B69" s="227"/>
      <c r="C69" s="29"/>
      <c r="D69" s="233">
        <v>0</v>
      </c>
      <c r="E69" s="233">
        <v>0</v>
      </c>
      <c r="F69" s="233">
        <v>0</v>
      </c>
      <c r="G69" s="233">
        <v>0</v>
      </c>
      <c r="H69" s="233">
        <v>0</v>
      </c>
      <c r="I69" s="233">
        <v>0</v>
      </c>
      <c r="J69" s="233">
        <v>0</v>
      </c>
      <c r="K69" s="233">
        <v>0</v>
      </c>
      <c r="L69" s="233">
        <v>0</v>
      </c>
      <c r="M69" s="233">
        <v>0</v>
      </c>
      <c r="N69" s="233">
        <v>0</v>
      </c>
      <c r="O69" s="233">
        <v>0</v>
      </c>
      <c r="P69" s="233">
        <v>0</v>
      </c>
      <c r="Q69" s="185"/>
      <c r="R69" s="233">
        <v>-809222</v>
      </c>
      <c r="S69" s="185"/>
      <c r="T69" s="233">
        <v>0</v>
      </c>
      <c r="U69" s="185"/>
      <c r="V69" s="233">
        <f t="shared" si="1"/>
        <v>-809222</v>
      </c>
      <c r="W69" s="32"/>
    </row>
    <row r="70" spans="1:24" x14ac:dyDescent="0.2">
      <c r="A70" s="32" t="s">
        <v>138</v>
      </c>
      <c r="B70" s="227"/>
      <c r="C70" s="29"/>
      <c r="D70" s="233">
        <v>0</v>
      </c>
      <c r="E70" s="233">
        <v>0</v>
      </c>
      <c r="F70" s="233">
        <v>0</v>
      </c>
      <c r="G70" s="233">
        <v>0</v>
      </c>
      <c r="H70" s="233">
        <v>0</v>
      </c>
      <c r="I70" s="233">
        <v>0</v>
      </c>
      <c r="J70" s="233">
        <v>0</v>
      </c>
      <c r="K70" s="233">
        <v>0</v>
      </c>
      <c r="L70" s="233">
        <v>0</v>
      </c>
      <c r="M70" s="233">
        <v>0</v>
      </c>
      <c r="N70" s="233">
        <v>0</v>
      </c>
      <c r="O70" s="233">
        <v>0</v>
      </c>
      <c r="P70" s="233">
        <v>0</v>
      </c>
      <c r="Q70" s="185"/>
      <c r="R70" s="233"/>
      <c r="S70" s="185"/>
      <c r="T70" s="233">
        <v>0</v>
      </c>
      <c r="U70" s="185"/>
      <c r="V70" s="233">
        <f t="shared" si="1"/>
        <v>0</v>
      </c>
      <c r="W70" s="32"/>
    </row>
    <row r="71" spans="1:24" x14ac:dyDescent="0.2">
      <c r="A71" s="32" t="s">
        <v>139</v>
      </c>
      <c r="B71" s="227"/>
      <c r="C71" s="29"/>
      <c r="D71" s="233">
        <v>0</v>
      </c>
      <c r="E71" s="233"/>
      <c r="F71" s="233">
        <v>-5792.4247400000004</v>
      </c>
      <c r="G71" s="233"/>
      <c r="H71" s="233">
        <v>0</v>
      </c>
      <c r="I71" s="233">
        <v>0</v>
      </c>
      <c r="J71" s="233">
        <v>0</v>
      </c>
      <c r="K71" s="233">
        <v>0</v>
      </c>
      <c r="L71" s="233">
        <v>0</v>
      </c>
      <c r="M71" s="233">
        <v>0</v>
      </c>
      <c r="N71" s="233">
        <v>0</v>
      </c>
      <c r="O71" s="233">
        <v>0</v>
      </c>
      <c r="P71" s="233">
        <v>0</v>
      </c>
      <c r="Q71" s="233">
        <v>0</v>
      </c>
      <c r="R71" s="233">
        <f>F71*-1</f>
        <v>5792.4247400000004</v>
      </c>
      <c r="S71" s="185"/>
      <c r="T71" s="233">
        <v>0</v>
      </c>
      <c r="U71" s="185"/>
      <c r="V71" s="233">
        <f t="shared" si="1"/>
        <v>0</v>
      </c>
      <c r="W71" s="32"/>
    </row>
    <row r="72" spans="1:24" x14ac:dyDescent="0.2">
      <c r="A72" s="32" t="s">
        <v>116</v>
      </c>
      <c r="B72" s="227"/>
      <c r="C72" s="29"/>
      <c r="D72" s="233">
        <v>0</v>
      </c>
      <c r="E72" s="233">
        <v>0</v>
      </c>
      <c r="F72" s="233">
        <v>0</v>
      </c>
      <c r="G72" s="233"/>
      <c r="H72" s="233">
        <v>-420727.28045999998</v>
      </c>
      <c r="I72" s="233"/>
      <c r="J72" s="233">
        <v>0</v>
      </c>
      <c r="K72" s="233">
        <v>0</v>
      </c>
      <c r="L72" s="233">
        <v>0</v>
      </c>
      <c r="M72" s="233">
        <v>0</v>
      </c>
      <c r="N72" s="233">
        <v>0</v>
      </c>
      <c r="O72" s="233">
        <v>0</v>
      </c>
      <c r="P72" s="233">
        <v>0</v>
      </c>
      <c r="Q72" s="233">
        <v>0</v>
      </c>
      <c r="R72" s="233">
        <f>H72*-1</f>
        <v>420727.28045999998</v>
      </c>
      <c r="S72" s="185"/>
      <c r="T72" s="233">
        <v>0</v>
      </c>
      <c r="U72" s="185"/>
      <c r="V72" s="233">
        <f t="shared" si="1"/>
        <v>0</v>
      </c>
      <c r="W72" s="32"/>
    </row>
    <row r="73" spans="1:24" x14ac:dyDescent="0.2">
      <c r="A73" s="32" t="s">
        <v>117</v>
      </c>
      <c r="B73" s="227"/>
      <c r="C73" s="29"/>
      <c r="D73" s="233">
        <v>0</v>
      </c>
      <c r="E73" s="233">
        <v>0</v>
      </c>
      <c r="F73" s="233">
        <v>0</v>
      </c>
      <c r="G73" s="233">
        <v>0</v>
      </c>
      <c r="H73" s="233">
        <v>0</v>
      </c>
      <c r="I73" s="233">
        <v>0</v>
      </c>
      <c r="J73" s="233">
        <v>0</v>
      </c>
      <c r="K73" s="233">
        <v>0</v>
      </c>
      <c r="L73" s="233">
        <v>-87652.858240000001</v>
      </c>
      <c r="M73" s="233"/>
      <c r="N73" s="233">
        <v>0</v>
      </c>
      <c r="O73" s="233">
        <v>0</v>
      </c>
      <c r="P73" s="233">
        <v>0</v>
      </c>
      <c r="Q73" s="185"/>
      <c r="R73" s="233">
        <f>L73*-1</f>
        <v>87652.858240000001</v>
      </c>
      <c r="S73" s="185"/>
      <c r="T73" s="233">
        <v>0</v>
      </c>
      <c r="U73" s="185"/>
      <c r="V73" s="233">
        <f t="shared" si="1"/>
        <v>0</v>
      </c>
      <c r="W73" s="32"/>
    </row>
    <row r="74" spans="1:24" hidden="1" x14ac:dyDescent="0.2">
      <c r="A74" s="32" t="s">
        <v>118</v>
      </c>
      <c r="B74" s="227"/>
      <c r="C74" s="29"/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>
        <v>0</v>
      </c>
      <c r="K74" s="233">
        <v>0</v>
      </c>
      <c r="L74" s="233">
        <v>0</v>
      </c>
      <c r="M74" s="233">
        <v>0</v>
      </c>
      <c r="N74" s="233">
        <v>0</v>
      </c>
      <c r="O74" s="233">
        <v>0</v>
      </c>
      <c r="P74" s="233">
        <v>0</v>
      </c>
      <c r="Q74" s="233">
        <v>0</v>
      </c>
      <c r="R74" s="233">
        <v>0</v>
      </c>
      <c r="S74" s="233">
        <v>0</v>
      </c>
      <c r="T74" s="233">
        <v>0</v>
      </c>
      <c r="U74" s="185"/>
      <c r="V74" s="233">
        <f t="shared" si="1"/>
        <v>0</v>
      </c>
      <c r="W74" s="32"/>
    </row>
    <row r="75" spans="1:24" ht="6" customHeight="1" x14ac:dyDescent="0.2">
      <c r="A75" s="32"/>
      <c r="B75" s="227"/>
      <c r="C75" s="29"/>
      <c r="D75" s="233"/>
      <c r="E75" s="233"/>
      <c r="F75" s="233"/>
      <c r="G75" s="233"/>
      <c r="H75" s="233"/>
      <c r="I75" s="233"/>
      <c r="J75" s="130"/>
      <c r="K75" s="233"/>
      <c r="L75" s="233"/>
      <c r="M75" s="233"/>
      <c r="N75" s="233"/>
      <c r="O75" s="233"/>
      <c r="P75" s="233"/>
      <c r="Q75" s="185"/>
      <c r="R75" s="233"/>
      <c r="S75" s="185"/>
      <c r="T75" s="233"/>
      <c r="U75" s="185"/>
      <c r="V75" s="233"/>
      <c r="W75" s="32"/>
    </row>
    <row r="76" spans="1:24" x14ac:dyDescent="0.2">
      <c r="A76" s="253" t="s">
        <v>140</v>
      </c>
      <c r="B76" s="251">
        <f>SUM(B64:B74)</f>
        <v>0</v>
      </c>
      <c r="C76" s="251">
        <f>SUM(C64:C74)</f>
        <v>0</v>
      </c>
      <c r="D76" s="254">
        <f>SUM(D62:D74)</f>
        <v>3403344.0307999998</v>
      </c>
      <c r="E76" s="254">
        <f t="shared" ref="E76:V76" si="2">SUM(E62:E74)</f>
        <v>0</v>
      </c>
      <c r="F76" s="254">
        <f t="shared" si="2"/>
        <v>0</v>
      </c>
      <c r="G76" s="254">
        <f t="shared" si="2"/>
        <v>0</v>
      </c>
      <c r="H76" s="254">
        <f t="shared" si="2"/>
        <v>0</v>
      </c>
      <c r="I76" s="254">
        <f t="shared" si="2"/>
        <v>0</v>
      </c>
      <c r="J76" s="254">
        <f t="shared" si="2"/>
        <v>0</v>
      </c>
      <c r="K76" s="254">
        <f t="shared" si="2"/>
        <v>0</v>
      </c>
      <c r="L76" s="254">
        <f t="shared" si="2"/>
        <v>0</v>
      </c>
      <c r="M76" s="254">
        <f t="shared" si="2"/>
        <v>0</v>
      </c>
      <c r="N76" s="254">
        <f t="shared" si="2"/>
        <v>0</v>
      </c>
      <c r="O76" s="254">
        <f t="shared" si="2"/>
        <v>0</v>
      </c>
      <c r="P76" s="254">
        <f t="shared" si="2"/>
        <v>0</v>
      </c>
      <c r="Q76" s="254">
        <f t="shared" si="2"/>
        <v>0</v>
      </c>
      <c r="R76" s="254">
        <f t="shared" si="2"/>
        <v>-324603.18985999993</v>
      </c>
      <c r="S76" s="254">
        <f t="shared" si="2"/>
        <v>0</v>
      </c>
      <c r="T76" s="254">
        <f t="shared" si="2"/>
        <v>353710.02763999999</v>
      </c>
      <c r="U76" s="254">
        <f t="shared" si="2"/>
        <v>0</v>
      </c>
      <c r="V76" s="254">
        <f t="shared" si="2"/>
        <v>3432450.854157689</v>
      </c>
      <c r="W76" s="227"/>
      <c r="X76" s="130"/>
    </row>
    <row r="77" spans="1:24" ht="6" customHeight="1" x14ac:dyDescent="0.2">
      <c r="A77" s="256"/>
      <c r="B77" s="257"/>
      <c r="C77" s="258"/>
      <c r="D77" s="190"/>
      <c r="E77" s="259"/>
      <c r="F77" s="260"/>
      <c r="G77" s="261"/>
      <c r="H77" s="190"/>
      <c r="I77" s="259"/>
      <c r="J77" s="190"/>
      <c r="K77" s="259"/>
      <c r="L77" s="190"/>
      <c r="M77" s="259"/>
      <c r="N77" s="190"/>
      <c r="O77" s="259"/>
      <c r="P77" s="190"/>
      <c r="Q77" s="259"/>
      <c r="R77" s="190"/>
      <c r="S77" s="259"/>
      <c r="T77" s="190"/>
      <c r="U77" s="259"/>
      <c r="V77" s="190"/>
      <c r="W77" s="227"/>
    </row>
    <row r="78" spans="1:24" x14ac:dyDescent="0.2">
      <c r="A78" s="32" t="s">
        <v>110</v>
      </c>
      <c r="B78" s="227">
        <v>18</v>
      </c>
      <c r="C78" s="29"/>
      <c r="D78" s="233">
        <v>0</v>
      </c>
      <c r="E78" s="233">
        <v>0</v>
      </c>
      <c r="F78" s="233">
        <v>0</v>
      </c>
      <c r="G78" s="233">
        <v>0</v>
      </c>
      <c r="H78" s="233">
        <v>0</v>
      </c>
      <c r="I78" s="233">
        <v>0</v>
      </c>
      <c r="J78" s="233">
        <v>0</v>
      </c>
      <c r="K78" s="233">
        <v>0</v>
      </c>
      <c r="L78" s="233">
        <v>0</v>
      </c>
      <c r="M78" s="233">
        <v>0</v>
      </c>
      <c r="N78" s="233">
        <v>0</v>
      </c>
      <c r="O78" s="233">
        <v>0</v>
      </c>
      <c r="P78" s="233">
        <v>0</v>
      </c>
      <c r="Q78" s="233">
        <v>0</v>
      </c>
      <c r="R78" s="233">
        <v>0</v>
      </c>
      <c r="S78" s="185"/>
      <c r="T78" s="233">
        <v>-14655</v>
      </c>
      <c r="U78" s="185"/>
      <c r="V78" s="233">
        <f>SUM(D78:T78)</f>
        <v>-14655</v>
      </c>
      <c r="W78" s="32"/>
    </row>
    <row r="79" spans="1:24" x14ac:dyDescent="0.2">
      <c r="A79" s="32" t="s">
        <v>141</v>
      </c>
      <c r="B79" s="227">
        <v>18</v>
      </c>
      <c r="C79" s="29"/>
      <c r="D79" s="247">
        <v>0</v>
      </c>
      <c r="E79" s="247">
        <v>0</v>
      </c>
      <c r="F79" s="247">
        <v>0</v>
      </c>
      <c r="G79" s="247">
        <v>0</v>
      </c>
      <c r="H79" s="247">
        <v>0</v>
      </c>
      <c r="I79" s="247">
        <v>0</v>
      </c>
      <c r="J79" s="247">
        <v>0</v>
      </c>
      <c r="K79" s="247">
        <v>0</v>
      </c>
      <c r="L79" s="247">
        <v>0</v>
      </c>
      <c r="M79" s="247">
        <v>0</v>
      </c>
      <c r="N79" s="247">
        <v>0</v>
      </c>
      <c r="O79" s="247">
        <v>0</v>
      </c>
      <c r="P79" s="247">
        <v>0</v>
      </c>
      <c r="Q79" s="247">
        <v>0</v>
      </c>
      <c r="R79" s="247">
        <v>84051</v>
      </c>
      <c r="S79" s="185"/>
      <c r="T79" s="247">
        <v>0</v>
      </c>
      <c r="U79" s="185"/>
      <c r="V79" s="247">
        <f>SUM(D79:T79)-0.49</f>
        <v>84050.51</v>
      </c>
      <c r="W79" s="32"/>
    </row>
    <row r="80" spans="1:24" ht="6" customHeight="1" x14ac:dyDescent="0.2">
      <c r="A80" s="32"/>
      <c r="B80" s="227"/>
      <c r="C80" s="29"/>
      <c r="D80" s="247"/>
      <c r="E80" s="233"/>
      <c r="F80" s="203"/>
      <c r="G80" s="233"/>
      <c r="H80" s="247"/>
      <c r="I80" s="233"/>
      <c r="J80" s="247"/>
      <c r="K80" s="233"/>
      <c r="L80" s="247"/>
      <c r="M80" s="233"/>
      <c r="N80" s="247"/>
      <c r="O80" s="233"/>
      <c r="P80" s="247"/>
      <c r="Q80" s="185"/>
      <c r="R80" s="247"/>
      <c r="S80" s="185"/>
      <c r="T80" s="247"/>
      <c r="U80" s="185"/>
      <c r="V80" s="247"/>
      <c r="W80" s="32"/>
    </row>
    <row r="81" spans="1:24" ht="16.5" customHeight="1" x14ac:dyDescent="0.2">
      <c r="A81" s="253" t="s">
        <v>142</v>
      </c>
      <c r="B81" s="249"/>
      <c r="C81" s="250"/>
      <c r="D81" s="254">
        <f>SUM(D76:D79)</f>
        <v>3403344.0307999998</v>
      </c>
      <c r="E81" s="255"/>
      <c r="F81" s="254">
        <f>SUM(F76:F79)</f>
        <v>0</v>
      </c>
      <c r="G81" s="255"/>
      <c r="H81" s="254">
        <f>SUM(H76:H79)</f>
        <v>0</v>
      </c>
      <c r="I81" s="255"/>
      <c r="J81" s="254">
        <f>SUM(J76:J79)</f>
        <v>0</v>
      </c>
      <c r="K81" s="255"/>
      <c r="L81" s="254">
        <f>SUM(L76:L79)</f>
        <v>0</v>
      </c>
      <c r="M81" s="255"/>
      <c r="N81" s="254">
        <f>SUM(N76:N79)</f>
        <v>0</v>
      </c>
      <c r="O81" s="255"/>
      <c r="P81" s="254">
        <f>SUM(P76:P79)</f>
        <v>0</v>
      </c>
      <c r="Q81" s="255"/>
      <c r="R81" s="254">
        <f>SUM(R76:R79)</f>
        <v>-240552.18985999993</v>
      </c>
      <c r="S81" s="255"/>
      <c r="T81" s="254">
        <f>SUM(T76:T79)</f>
        <v>339055.02763999999</v>
      </c>
      <c r="U81" s="255"/>
      <c r="V81" s="254">
        <f>SUM(V76:V79)+1</f>
        <v>3501847.3641576888</v>
      </c>
      <c r="W81" s="227"/>
      <c r="X81" s="130"/>
    </row>
    <row r="82" spans="1:24" ht="7.5" customHeight="1" x14ac:dyDescent="0.2">
      <c r="A82" s="262"/>
      <c r="B82" s="263"/>
      <c r="C82" s="264"/>
      <c r="D82" s="265"/>
      <c r="E82" s="266"/>
      <c r="F82" s="265"/>
      <c r="G82" s="266"/>
      <c r="H82" s="265"/>
      <c r="I82" s="266"/>
      <c r="J82" s="265"/>
      <c r="K82" s="266"/>
      <c r="L82" s="265"/>
      <c r="M82" s="266"/>
      <c r="N82" s="265"/>
      <c r="O82" s="266"/>
      <c r="P82" s="265"/>
      <c r="Q82" s="229"/>
      <c r="R82" s="190"/>
      <c r="S82" s="229"/>
      <c r="T82" s="190"/>
      <c r="U82" s="229"/>
      <c r="V82" s="190"/>
      <c r="W82" s="227"/>
    </row>
    <row r="83" spans="1:24" s="112" customFormat="1" ht="12" x14ac:dyDescent="0.2">
      <c r="A83" s="109" t="s">
        <v>143</v>
      </c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</row>
    <row r="84" spans="1:24" x14ac:dyDescent="0.2">
      <c r="T84" s="130"/>
    </row>
    <row r="86" spans="1:24" x14ac:dyDescent="0.2">
      <c r="A86" s="213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1"/>
    </row>
    <row r="87" spans="1:24" ht="21" x14ac:dyDescent="0.35">
      <c r="A87" s="351" t="s">
        <v>238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4" ht="21" x14ac:dyDescent="0.35">
      <c r="A88" s="351" t="s">
        <v>239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4" ht="18.75" x14ac:dyDescent="0.3">
      <c r="A89" s="352" t="s">
        <v>244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4" ht="15" x14ac:dyDescent="0.35">
      <c r="A90" s="354" t="s">
        <v>241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4" ht="15" x14ac:dyDescent="0.2">
      <c r="A91" s="30"/>
      <c r="B91" s="21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215"/>
      <c r="S91" s="3"/>
      <c r="T91" s="215"/>
      <c r="U91" s="3"/>
      <c r="V91" s="215"/>
    </row>
    <row r="92" spans="1:24" ht="25.5" x14ac:dyDescent="0.2">
      <c r="A92" s="216"/>
      <c r="B92" s="217"/>
      <c r="C92" s="218"/>
      <c r="D92" s="217"/>
      <c r="E92" s="217"/>
      <c r="F92" s="219" t="s">
        <v>98</v>
      </c>
      <c r="G92" s="220"/>
      <c r="H92" s="221"/>
      <c r="I92" s="222" t="s">
        <v>48</v>
      </c>
      <c r="J92" s="223"/>
      <c r="K92" s="223"/>
      <c r="L92" s="223"/>
      <c r="M92" s="224"/>
      <c r="N92" s="224"/>
      <c r="O92" s="224"/>
      <c r="P92" s="224"/>
      <c r="Q92" s="220"/>
      <c r="R92" s="220"/>
      <c r="S92" s="220"/>
      <c r="T92" s="219" t="s">
        <v>50</v>
      </c>
      <c r="U92" s="220"/>
      <c r="V92" s="217"/>
    </row>
    <row r="93" spans="1:24" ht="51" x14ac:dyDescent="0.2">
      <c r="A93" s="216"/>
      <c r="B93" s="220" t="s">
        <v>4</v>
      </c>
      <c r="C93" s="225"/>
      <c r="D93" s="225" t="s">
        <v>45</v>
      </c>
      <c r="E93" s="220"/>
      <c r="F93" s="225" t="s">
        <v>99</v>
      </c>
      <c r="G93" s="220"/>
      <c r="H93" s="220" t="s">
        <v>100</v>
      </c>
      <c r="I93" s="220"/>
      <c r="J93" s="225" t="s">
        <v>101</v>
      </c>
      <c r="K93" s="220"/>
      <c r="L93" s="225" t="s">
        <v>99</v>
      </c>
      <c r="M93" s="220"/>
      <c r="N93" s="225" t="s">
        <v>102</v>
      </c>
      <c r="O93" s="220"/>
      <c r="P93" s="225" t="s">
        <v>103</v>
      </c>
      <c r="Q93" s="220"/>
      <c r="R93" s="225" t="s">
        <v>144</v>
      </c>
      <c r="S93" s="220"/>
      <c r="T93" s="225" t="s">
        <v>105</v>
      </c>
      <c r="U93" s="225"/>
      <c r="V93" s="220" t="s">
        <v>106</v>
      </c>
    </row>
    <row r="94" spans="1:24" ht="12.6" customHeight="1" x14ac:dyDescent="0.2">
      <c r="C94" s="29"/>
      <c r="D94" s="227"/>
      <c r="E94" s="227"/>
      <c r="F94" s="227"/>
      <c r="G94" s="32"/>
      <c r="H94" s="227"/>
      <c r="I94" s="32"/>
      <c r="J94" s="227"/>
      <c r="K94" s="32"/>
      <c r="L94" s="227"/>
      <c r="M94" s="32"/>
      <c r="N94" s="227"/>
      <c r="O94" s="32"/>
      <c r="P94" s="227"/>
      <c r="Q94" s="32"/>
      <c r="R94" s="227"/>
      <c r="S94" s="32"/>
      <c r="T94" s="227"/>
      <c r="U94" s="32"/>
      <c r="V94" s="227"/>
    </row>
    <row r="95" spans="1:24" ht="14.25" hidden="1" x14ac:dyDescent="0.2">
      <c r="A95" s="228" t="s">
        <v>107</v>
      </c>
      <c r="B95" s="228"/>
      <c r="C95" s="29"/>
      <c r="D95" s="229">
        <v>3202960</v>
      </c>
      <c r="E95" s="229"/>
      <c r="F95" s="229">
        <v>5792</v>
      </c>
      <c r="G95" s="229"/>
      <c r="H95" s="229">
        <v>303455</v>
      </c>
      <c r="I95" s="229"/>
      <c r="J95" s="229">
        <v>1239</v>
      </c>
      <c r="K95" s="229"/>
      <c r="L95" s="229">
        <v>33893</v>
      </c>
      <c r="M95" s="229"/>
      <c r="N95" s="229">
        <v>345768</v>
      </c>
      <c r="O95" s="229"/>
      <c r="P95" s="229">
        <v>816958</v>
      </c>
      <c r="Q95" s="194"/>
      <c r="R95" s="230">
        <v>0</v>
      </c>
      <c r="S95" s="194"/>
      <c r="T95" s="230">
        <v>122361</v>
      </c>
      <c r="U95" s="194"/>
      <c r="V95" s="230">
        <v>4832426</v>
      </c>
    </row>
    <row r="96" spans="1:24" hidden="1" x14ac:dyDescent="0.2">
      <c r="A96" s="231" t="s">
        <v>108</v>
      </c>
      <c r="B96" s="232"/>
      <c r="C96" s="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33">
        <v>-162643</v>
      </c>
      <c r="Q96" s="194"/>
      <c r="R96" s="233"/>
      <c r="S96" s="194"/>
      <c r="T96" s="230"/>
      <c r="U96" s="194"/>
      <c r="V96" s="230">
        <v>-162643</v>
      </c>
    </row>
    <row r="97" spans="1:22" hidden="1" x14ac:dyDescent="0.2">
      <c r="A97" s="234" t="s">
        <v>109</v>
      </c>
      <c r="B97" s="231"/>
      <c r="C97" s="29"/>
      <c r="D97" s="229">
        <v>3202960</v>
      </c>
      <c r="E97" s="229"/>
      <c r="F97" s="229">
        <v>5792</v>
      </c>
      <c r="G97" s="229"/>
      <c r="H97" s="229">
        <v>303455</v>
      </c>
      <c r="I97" s="229"/>
      <c r="J97" s="229">
        <v>1239</v>
      </c>
      <c r="K97" s="229"/>
      <c r="L97" s="229">
        <v>33893</v>
      </c>
      <c r="M97" s="229">
        <v>0</v>
      </c>
      <c r="N97" s="229">
        <v>345768</v>
      </c>
      <c r="O97" s="229">
        <v>0</v>
      </c>
      <c r="P97" s="229">
        <v>654315</v>
      </c>
      <c r="Q97" s="229"/>
      <c r="R97" s="229">
        <v>0</v>
      </c>
      <c r="S97" s="229"/>
      <c r="T97" s="229">
        <v>122361</v>
      </c>
      <c r="U97" s="229"/>
      <c r="V97" s="229">
        <v>4669783</v>
      </c>
    </row>
    <row r="98" spans="1:22" hidden="1" x14ac:dyDescent="0.2">
      <c r="A98" s="30"/>
      <c r="B98" s="227"/>
      <c r="C98" s="29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185"/>
      <c r="R98" s="233"/>
      <c r="S98" s="185"/>
      <c r="T98" s="233"/>
      <c r="U98" s="185"/>
      <c r="V98" s="233"/>
    </row>
    <row r="99" spans="1:22" hidden="1" x14ac:dyDescent="0.2">
      <c r="A99" s="32" t="s">
        <v>110</v>
      </c>
      <c r="B99" s="227"/>
      <c r="C99" s="29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6"/>
      <c r="R99" s="235"/>
      <c r="S99" s="236"/>
      <c r="T99" s="235">
        <v>100804</v>
      </c>
      <c r="U99" s="236"/>
      <c r="V99" s="235">
        <v>100804</v>
      </c>
    </row>
    <row r="100" spans="1:22" hidden="1" x14ac:dyDescent="0.2">
      <c r="A100" s="32" t="s">
        <v>111</v>
      </c>
      <c r="B100" s="227">
        <v>19</v>
      </c>
      <c r="C100" s="29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6"/>
      <c r="R100" s="235"/>
      <c r="S100" s="236"/>
      <c r="T100" s="235">
        <v>-96292</v>
      </c>
      <c r="U100" s="236"/>
      <c r="V100" s="235">
        <v>-96292</v>
      </c>
    </row>
    <row r="101" spans="1:22" hidden="1" x14ac:dyDescent="0.2">
      <c r="A101" s="32" t="s">
        <v>112</v>
      </c>
      <c r="B101" s="227"/>
      <c r="C101" s="29"/>
      <c r="D101" s="235">
        <v>200384</v>
      </c>
      <c r="E101" s="235"/>
      <c r="F101" s="235"/>
      <c r="G101" s="235"/>
      <c r="H101" s="235"/>
      <c r="I101" s="235"/>
      <c r="J101" s="235"/>
      <c r="K101" s="235"/>
      <c r="L101" s="235">
        <v>-16228</v>
      </c>
      <c r="M101" s="235"/>
      <c r="N101" s="235"/>
      <c r="O101" s="235"/>
      <c r="P101" s="235">
        <v>-184155</v>
      </c>
      <c r="Q101" s="236"/>
      <c r="R101" s="235"/>
      <c r="S101" s="236"/>
      <c r="T101" s="235"/>
      <c r="U101" s="236"/>
      <c r="V101" s="235">
        <v>0</v>
      </c>
    </row>
    <row r="102" spans="1:22" hidden="1" x14ac:dyDescent="0.2">
      <c r="A102" s="32" t="s">
        <v>102</v>
      </c>
      <c r="B102" s="227">
        <v>21</v>
      </c>
      <c r="C102" s="29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>
        <v>-345768</v>
      </c>
      <c r="O102" s="235"/>
      <c r="P102" s="235"/>
      <c r="Q102" s="236"/>
      <c r="R102" s="235"/>
      <c r="S102" s="236"/>
      <c r="T102" s="235"/>
      <c r="U102" s="236"/>
      <c r="V102" s="235">
        <v>-345768</v>
      </c>
    </row>
    <row r="103" spans="1:22" hidden="1" x14ac:dyDescent="0.2">
      <c r="A103" s="32" t="s">
        <v>113</v>
      </c>
      <c r="B103" s="227">
        <v>21</v>
      </c>
      <c r="C103" s="29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6"/>
      <c r="R103" s="235"/>
      <c r="S103" s="236"/>
      <c r="T103" s="235"/>
      <c r="U103" s="236"/>
      <c r="V103" s="235"/>
    </row>
    <row r="104" spans="1:22" hidden="1" x14ac:dyDescent="0.2">
      <c r="A104" s="32" t="s">
        <v>114</v>
      </c>
      <c r="B104" s="227"/>
      <c r="C104" s="29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6"/>
      <c r="R104" s="235">
        <v>905360</v>
      </c>
      <c r="S104" s="236"/>
      <c r="T104" s="235"/>
      <c r="U104" s="236"/>
      <c r="V104" s="235">
        <v>905360</v>
      </c>
    </row>
    <row r="105" spans="1:22" hidden="1" x14ac:dyDescent="0.2">
      <c r="A105" s="32" t="s">
        <v>115</v>
      </c>
      <c r="B105" s="227"/>
      <c r="C105" s="29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6"/>
      <c r="R105" s="235"/>
      <c r="S105" s="236"/>
      <c r="T105" s="235"/>
      <c r="U105" s="236"/>
      <c r="V105" s="235"/>
    </row>
    <row r="106" spans="1:22" hidden="1" x14ac:dyDescent="0.2">
      <c r="A106" s="32" t="s">
        <v>116</v>
      </c>
      <c r="B106" s="227">
        <v>21</v>
      </c>
      <c r="C106" s="29"/>
      <c r="D106" s="235"/>
      <c r="E106" s="235"/>
      <c r="F106" s="235"/>
      <c r="G106" s="235"/>
      <c r="H106" s="235">
        <v>45268</v>
      </c>
      <c r="I106" s="235"/>
      <c r="J106" s="235"/>
      <c r="K106" s="235"/>
      <c r="L106" s="235"/>
      <c r="M106" s="235"/>
      <c r="N106" s="235"/>
      <c r="O106" s="235"/>
      <c r="P106" s="235"/>
      <c r="Q106" s="236"/>
      <c r="R106" s="235">
        <v>-45268</v>
      </c>
      <c r="S106" s="236"/>
      <c r="T106" s="235"/>
      <c r="U106" s="236"/>
      <c r="V106" s="235">
        <v>0</v>
      </c>
    </row>
    <row r="107" spans="1:22" hidden="1" x14ac:dyDescent="0.2">
      <c r="A107" s="32" t="s">
        <v>117</v>
      </c>
      <c r="B107" s="227">
        <v>21</v>
      </c>
      <c r="C107" s="29"/>
      <c r="D107" s="235"/>
      <c r="E107" s="235"/>
      <c r="F107" s="235"/>
      <c r="G107" s="235"/>
      <c r="H107" s="235"/>
      <c r="I107" s="235"/>
      <c r="J107" s="235"/>
      <c r="K107" s="235"/>
      <c r="L107" s="235">
        <v>24701</v>
      </c>
      <c r="M107" s="235"/>
      <c r="N107" s="235"/>
      <c r="O107" s="235"/>
      <c r="P107" s="235"/>
      <c r="Q107" s="236"/>
      <c r="R107" s="235">
        <v>-24701</v>
      </c>
      <c r="S107" s="236"/>
      <c r="T107" s="235"/>
      <c r="U107" s="236"/>
      <c r="V107" s="235">
        <v>0</v>
      </c>
    </row>
    <row r="108" spans="1:22" hidden="1" x14ac:dyDescent="0.2">
      <c r="A108" s="32" t="s">
        <v>118</v>
      </c>
      <c r="B108" s="227">
        <v>21</v>
      </c>
      <c r="C108" s="29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>
        <v>835391</v>
      </c>
      <c r="O108" s="235"/>
      <c r="P108" s="235">
        <v>-218153</v>
      </c>
      <c r="Q108" s="236"/>
      <c r="R108" s="235">
        <v>-617238</v>
      </c>
      <c r="S108" s="236"/>
      <c r="T108" s="235"/>
      <c r="U108" s="236"/>
      <c r="V108" s="235">
        <v>0</v>
      </c>
    </row>
    <row r="109" spans="1:22" hidden="1" x14ac:dyDescent="0.2">
      <c r="A109" s="32" t="s">
        <v>119</v>
      </c>
      <c r="B109" s="227">
        <v>21</v>
      </c>
      <c r="C109" s="29"/>
      <c r="D109" s="237"/>
      <c r="E109" s="235"/>
      <c r="F109" s="238"/>
      <c r="G109" s="235"/>
      <c r="H109" s="237"/>
      <c r="I109" s="235"/>
      <c r="J109" s="237"/>
      <c r="K109" s="235"/>
      <c r="L109" s="237"/>
      <c r="M109" s="235"/>
      <c r="N109" s="237"/>
      <c r="O109" s="235"/>
      <c r="P109" s="237"/>
      <c r="Q109" s="236"/>
      <c r="R109" s="237">
        <v>-218153</v>
      </c>
      <c r="S109" s="236"/>
      <c r="T109" s="237"/>
      <c r="U109" s="236"/>
      <c r="V109" s="237">
        <v>-218153</v>
      </c>
    </row>
    <row r="110" spans="1:22" hidden="1" x14ac:dyDescent="0.2">
      <c r="A110" s="30" t="s">
        <v>120</v>
      </c>
      <c r="B110" s="227"/>
      <c r="C110" s="29"/>
      <c r="D110" s="239">
        <v>3403344.0307999998</v>
      </c>
      <c r="E110" s="240"/>
      <c r="F110" s="239">
        <v>5792.4247400000004</v>
      </c>
      <c r="G110" s="240"/>
      <c r="H110" s="239">
        <v>348722.04645000002</v>
      </c>
      <c r="I110" s="240"/>
      <c r="J110" s="239">
        <v>1238.7054000000001</v>
      </c>
      <c r="K110" s="240"/>
      <c r="L110" s="239">
        <v>42366.347600000001</v>
      </c>
      <c r="M110" s="240"/>
      <c r="N110" s="239">
        <v>835390.61563999997</v>
      </c>
      <c r="O110" s="240"/>
      <c r="P110" s="239">
        <v>252008</v>
      </c>
      <c r="Q110" s="240"/>
      <c r="R110" s="239">
        <v>0</v>
      </c>
      <c r="S110" s="240"/>
      <c r="T110" s="239">
        <v>126873.32163999999</v>
      </c>
      <c r="U110" s="240"/>
      <c r="V110" s="240">
        <v>5015735</v>
      </c>
    </row>
    <row r="111" spans="1:22" hidden="1" x14ac:dyDescent="0.2">
      <c r="A111" s="32" t="s">
        <v>121</v>
      </c>
      <c r="B111" s="227" t="s">
        <v>122</v>
      </c>
      <c r="C111" s="29"/>
      <c r="D111" s="239"/>
      <c r="E111" s="230"/>
      <c r="F111" s="239"/>
      <c r="G111" s="230"/>
      <c r="H111" s="239"/>
      <c r="I111" s="230"/>
      <c r="J111" s="239"/>
      <c r="K111" s="230"/>
      <c r="L111" s="239"/>
      <c r="M111" s="230"/>
      <c r="N111" s="238">
        <v>-27873.773130000001</v>
      </c>
      <c r="O111" s="230"/>
      <c r="P111" s="239"/>
      <c r="Q111" s="230"/>
      <c r="R111" s="239"/>
      <c r="S111" s="230"/>
      <c r="T111" s="239"/>
      <c r="U111" s="230"/>
      <c r="V111" s="237">
        <v>-27873.773130000001</v>
      </c>
    </row>
    <row r="112" spans="1:22" ht="13.5" hidden="1" thickBot="1" x14ac:dyDescent="0.25">
      <c r="A112" s="30" t="s">
        <v>123</v>
      </c>
      <c r="B112" s="227"/>
      <c r="C112" s="29"/>
      <c r="D112" s="241">
        <v>3403344.0307999998</v>
      </c>
      <c r="E112" s="229">
        <v>0</v>
      </c>
      <c r="F112" s="241">
        <v>5792.4247400000004</v>
      </c>
      <c r="G112" s="229"/>
      <c r="H112" s="241">
        <v>348722.04645000002</v>
      </c>
      <c r="I112" s="229">
        <v>0</v>
      </c>
      <c r="J112" s="241">
        <v>1238.7054000000001</v>
      </c>
      <c r="K112" s="229">
        <v>0</v>
      </c>
      <c r="L112" s="241">
        <v>42366.347600000001</v>
      </c>
      <c r="M112" s="242">
        <v>0</v>
      </c>
      <c r="N112" s="241">
        <v>807516.84250999999</v>
      </c>
      <c r="O112" s="229">
        <v>0</v>
      </c>
      <c r="P112" s="241">
        <v>252008</v>
      </c>
      <c r="Q112" s="229"/>
      <c r="R112" s="241">
        <v>0</v>
      </c>
      <c r="S112" s="229">
        <v>0</v>
      </c>
      <c r="T112" s="241">
        <v>126873.32163999999</v>
      </c>
      <c r="U112" s="229">
        <v>0</v>
      </c>
      <c r="V112" s="241">
        <v>4987861.2268700004</v>
      </c>
    </row>
    <row r="113" spans="1:22" hidden="1" x14ac:dyDescent="0.2">
      <c r="A113" s="32" t="s">
        <v>110</v>
      </c>
      <c r="B113" s="227"/>
      <c r="C113" s="29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185"/>
      <c r="R113" s="233"/>
      <c r="S113" s="185"/>
      <c r="T113" s="233">
        <v>314633.52923000004</v>
      </c>
      <c r="U113" s="185"/>
      <c r="V113" s="233">
        <v>314633.52923000004</v>
      </c>
    </row>
    <row r="114" spans="1:22" hidden="1" x14ac:dyDescent="0.2">
      <c r="A114" s="32" t="s">
        <v>124</v>
      </c>
      <c r="B114" s="227">
        <v>18</v>
      </c>
      <c r="C114" s="29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185"/>
      <c r="R114" s="233"/>
      <c r="S114" s="185"/>
      <c r="T114" s="233">
        <v>30114.926359999998</v>
      </c>
      <c r="U114" s="185"/>
      <c r="V114" s="233">
        <v>30114.926359999998</v>
      </c>
    </row>
    <row r="115" spans="1:22" hidden="1" x14ac:dyDescent="0.2">
      <c r="A115" s="32" t="s">
        <v>102</v>
      </c>
      <c r="B115" s="227" t="s">
        <v>125</v>
      </c>
      <c r="C115" s="29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>
        <v>-835390.61563999997</v>
      </c>
      <c r="O115" s="233"/>
      <c r="P115" s="233"/>
      <c r="Q115" s="185"/>
      <c r="R115" s="233"/>
      <c r="S115" s="185"/>
      <c r="T115" s="233"/>
      <c r="U115" s="185"/>
      <c r="V115" s="233">
        <v>-835390.61563999997</v>
      </c>
    </row>
    <row r="116" spans="1:22" hidden="1" x14ac:dyDescent="0.2">
      <c r="A116" s="32" t="s">
        <v>113</v>
      </c>
      <c r="B116" s="227"/>
      <c r="C116" s="29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185"/>
      <c r="R116" s="233"/>
      <c r="S116" s="185"/>
      <c r="T116" s="233"/>
      <c r="U116" s="185"/>
      <c r="V116" s="233"/>
    </row>
    <row r="117" spans="1:22" hidden="1" x14ac:dyDescent="0.2">
      <c r="A117" s="32" t="s">
        <v>114</v>
      </c>
      <c r="B117" s="227"/>
      <c r="C117" s="29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185"/>
      <c r="R117" s="233">
        <v>1032968.9181631665</v>
      </c>
      <c r="S117" s="185"/>
      <c r="T117" s="233"/>
      <c r="U117" s="185"/>
      <c r="V117" s="233">
        <v>1032968.9181631665</v>
      </c>
    </row>
    <row r="118" spans="1:22" hidden="1" x14ac:dyDescent="0.2">
      <c r="A118" s="32" t="s">
        <v>126</v>
      </c>
      <c r="B118" s="227"/>
      <c r="C118" s="29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185"/>
      <c r="R118" s="233"/>
      <c r="S118" s="185"/>
      <c r="T118" s="233"/>
      <c r="U118" s="185"/>
      <c r="V118" s="233"/>
    </row>
    <row r="119" spans="1:22" hidden="1" x14ac:dyDescent="0.2">
      <c r="A119" s="32" t="s">
        <v>116</v>
      </c>
      <c r="B119" s="227" t="s">
        <v>127</v>
      </c>
      <c r="C119" s="29"/>
      <c r="D119" s="233"/>
      <c r="E119" s="233"/>
      <c r="F119" s="233"/>
      <c r="G119" s="233"/>
      <c r="H119" s="130">
        <v>51648.445909999995</v>
      </c>
      <c r="I119" s="233"/>
      <c r="J119" s="233"/>
      <c r="K119" s="233"/>
      <c r="L119" s="233"/>
      <c r="M119" s="233"/>
      <c r="N119" s="233"/>
      <c r="O119" s="233"/>
      <c r="P119" s="233"/>
      <c r="Q119" s="185"/>
      <c r="R119" s="233">
        <v>-51648.445909999995</v>
      </c>
      <c r="S119" s="185"/>
      <c r="T119" s="233"/>
      <c r="U119" s="185"/>
      <c r="V119" s="233">
        <v>0</v>
      </c>
    </row>
    <row r="120" spans="1:22" hidden="1" x14ac:dyDescent="0.2">
      <c r="A120" s="32" t="s">
        <v>117</v>
      </c>
      <c r="B120" s="227" t="s">
        <v>127</v>
      </c>
      <c r="C120" s="29"/>
      <c r="D120" s="233"/>
      <c r="E120" s="233"/>
      <c r="F120" s="233"/>
      <c r="G120" s="233"/>
      <c r="H120" s="233"/>
      <c r="I120" s="233"/>
      <c r="J120" s="233"/>
      <c r="K120" s="233"/>
      <c r="L120" s="233">
        <v>31574.79048</v>
      </c>
      <c r="M120" s="233"/>
      <c r="N120" s="233"/>
      <c r="O120" s="233"/>
      <c r="P120" s="233"/>
      <c r="Q120" s="185"/>
      <c r="R120" s="233">
        <v>-31574.79048</v>
      </c>
      <c r="S120" s="185"/>
      <c r="T120" s="233"/>
      <c r="U120" s="185"/>
      <c r="V120" s="233">
        <v>0</v>
      </c>
    </row>
    <row r="121" spans="1:22" hidden="1" x14ac:dyDescent="0.2">
      <c r="A121" s="32" t="s">
        <v>118</v>
      </c>
      <c r="B121" s="227" t="s">
        <v>125</v>
      </c>
      <c r="C121" s="29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>
        <v>948411.26628999994</v>
      </c>
      <c r="O121" s="233"/>
      <c r="P121" s="233">
        <v>-252008</v>
      </c>
      <c r="Q121" s="185"/>
      <c r="R121" s="233">
        <v>-696403.73913999996</v>
      </c>
      <c r="S121" s="185"/>
      <c r="T121" s="233"/>
      <c r="U121" s="185"/>
      <c r="V121" s="233">
        <v>0</v>
      </c>
    </row>
    <row r="122" spans="1:22" ht="13.5" hidden="1" thickBot="1" x14ac:dyDescent="0.25">
      <c r="A122" s="32" t="s">
        <v>128</v>
      </c>
      <c r="B122" s="227" t="s">
        <v>125</v>
      </c>
      <c r="C122" s="29"/>
      <c r="D122" s="243"/>
      <c r="E122" s="233"/>
      <c r="F122" s="244"/>
      <c r="G122" s="233"/>
      <c r="H122" s="243"/>
      <c r="I122" s="233"/>
      <c r="J122" s="243"/>
      <c r="K122" s="233"/>
      <c r="L122" s="243"/>
      <c r="M122" s="233"/>
      <c r="N122" s="243"/>
      <c r="O122" s="233"/>
      <c r="P122" s="243"/>
      <c r="Q122" s="185"/>
      <c r="R122" s="243">
        <v>-253341.94263316656</v>
      </c>
      <c r="S122" s="185"/>
      <c r="T122" s="243"/>
      <c r="U122" s="185"/>
      <c r="V122" s="243">
        <v>-253341.94263316656</v>
      </c>
    </row>
    <row r="123" spans="1:22" ht="13.5" hidden="1" thickBot="1" x14ac:dyDescent="0.25">
      <c r="A123" s="30" t="s">
        <v>129</v>
      </c>
      <c r="B123" s="227"/>
      <c r="C123" s="29"/>
      <c r="D123" s="241">
        <v>3403344.0307999998</v>
      </c>
      <c r="E123" s="229"/>
      <c r="F123" s="241">
        <v>5792.4247400000004</v>
      </c>
      <c r="G123" s="229"/>
      <c r="H123" s="241">
        <v>400370.49236000003</v>
      </c>
      <c r="I123" s="229"/>
      <c r="J123" s="241">
        <v>1238.7054000000001</v>
      </c>
      <c r="K123" s="229"/>
      <c r="L123" s="241">
        <v>73941.138080000004</v>
      </c>
      <c r="M123" s="229"/>
      <c r="N123" s="241">
        <v>920537.49315999995</v>
      </c>
      <c r="O123" s="229"/>
      <c r="P123" s="241">
        <v>0</v>
      </c>
      <c r="Q123" s="229"/>
      <c r="R123" s="245">
        <v>0</v>
      </c>
      <c r="S123" s="229"/>
      <c r="T123" s="241">
        <v>471621.77723000001</v>
      </c>
      <c r="U123" s="229"/>
      <c r="V123" s="241">
        <v>5276846.0423500007</v>
      </c>
    </row>
    <row r="124" spans="1:22" hidden="1" x14ac:dyDescent="0.2"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</row>
    <row r="125" spans="1:22" hidden="1" x14ac:dyDescent="0.2">
      <c r="A125" s="32" t="s">
        <v>110</v>
      </c>
      <c r="B125" s="227">
        <v>13</v>
      </c>
      <c r="C125" s="29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185"/>
      <c r="R125" s="233"/>
      <c r="S125" s="185"/>
      <c r="T125" s="233">
        <v>-240848.75009000005</v>
      </c>
      <c r="U125" s="185"/>
      <c r="V125" s="233">
        <v>-240848.75009000005</v>
      </c>
    </row>
    <row r="126" spans="1:22" hidden="1" x14ac:dyDescent="0.2">
      <c r="A126" s="32" t="s">
        <v>130</v>
      </c>
      <c r="B126" s="227"/>
      <c r="C126" s="29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185"/>
      <c r="R126" s="233"/>
      <c r="S126" s="185"/>
      <c r="T126" s="233">
        <v>-155571.13500000001</v>
      </c>
      <c r="U126" s="185"/>
      <c r="V126" s="233">
        <v>-155571.13500000001</v>
      </c>
    </row>
    <row r="127" spans="1:22" hidden="1" x14ac:dyDescent="0.2">
      <c r="A127" s="32" t="s">
        <v>131</v>
      </c>
      <c r="B127" s="227"/>
      <c r="C127" s="29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185"/>
      <c r="R127" s="233"/>
      <c r="S127" s="185"/>
      <c r="T127" s="233"/>
      <c r="U127" s="185"/>
      <c r="V127" s="233">
        <v>0</v>
      </c>
    </row>
    <row r="128" spans="1:22" hidden="1" x14ac:dyDescent="0.2">
      <c r="A128" s="32" t="s">
        <v>102</v>
      </c>
      <c r="B128" s="227"/>
      <c r="C128" s="29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>
        <v>-948411.26628999994</v>
      </c>
      <c r="O128" s="233"/>
      <c r="P128" s="233"/>
      <c r="Q128" s="185"/>
      <c r="R128" s="233"/>
      <c r="S128" s="185"/>
      <c r="T128" s="233"/>
      <c r="U128" s="185"/>
      <c r="V128" s="233">
        <v>-948411.26628999994</v>
      </c>
    </row>
    <row r="129" spans="1:22" hidden="1" x14ac:dyDescent="0.2">
      <c r="A129" s="32" t="s">
        <v>113</v>
      </c>
      <c r="B129" s="227">
        <v>20</v>
      </c>
      <c r="C129" s="29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185"/>
      <c r="R129" s="233"/>
      <c r="S129" s="185"/>
      <c r="T129" s="233"/>
      <c r="U129" s="185"/>
      <c r="V129" s="233"/>
    </row>
    <row r="130" spans="1:22" hidden="1" x14ac:dyDescent="0.2">
      <c r="A130" s="30" t="s">
        <v>114</v>
      </c>
      <c r="B130" s="246"/>
      <c r="C130" s="25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194"/>
      <c r="R130" s="233">
        <v>313782.97181000002</v>
      </c>
      <c r="S130" s="194"/>
      <c r="T130" s="229"/>
      <c r="U130" s="194"/>
      <c r="V130" s="233">
        <v>313782.97180769173</v>
      </c>
    </row>
    <row r="131" spans="1:22" hidden="1" x14ac:dyDescent="0.2">
      <c r="A131" s="32" t="s">
        <v>126</v>
      </c>
      <c r="B131" s="227"/>
      <c r="C131" s="29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185"/>
      <c r="R131" s="233"/>
      <c r="S131" s="185"/>
      <c r="T131" s="233"/>
      <c r="U131" s="185"/>
      <c r="V131" s="233">
        <v>0</v>
      </c>
    </row>
    <row r="132" spans="1:22" hidden="1" x14ac:dyDescent="0.2">
      <c r="A132" s="32" t="s">
        <v>116</v>
      </c>
      <c r="B132" s="227"/>
      <c r="C132" s="29"/>
      <c r="D132" s="233"/>
      <c r="E132" s="233"/>
      <c r="F132" s="233"/>
      <c r="G132" s="233"/>
      <c r="H132" s="130">
        <v>14295.45968</v>
      </c>
      <c r="I132" s="233"/>
      <c r="J132" s="233"/>
      <c r="K132" s="233"/>
      <c r="L132" s="233"/>
      <c r="M132" s="233"/>
      <c r="N132" s="233"/>
      <c r="O132" s="233"/>
      <c r="P132" s="233"/>
      <c r="Q132" s="185"/>
      <c r="R132" s="233">
        <v>-14295.45968</v>
      </c>
      <c r="S132" s="185"/>
      <c r="T132" s="233"/>
      <c r="U132" s="185"/>
      <c r="V132" s="233">
        <v>0</v>
      </c>
    </row>
    <row r="133" spans="1:22" hidden="1" x14ac:dyDescent="0.2">
      <c r="A133" s="32" t="s">
        <v>117</v>
      </c>
      <c r="B133" s="227"/>
      <c r="C133" s="29"/>
      <c r="D133" s="233"/>
      <c r="E133" s="233"/>
      <c r="F133" s="233"/>
      <c r="G133" s="233"/>
      <c r="H133" s="233"/>
      <c r="I133" s="233"/>
      <c r="J133" s="233"/>
      <c r="K133" s="233"/>
      <c r="L133" s="233">
        <v>9254.8491799999993</v>
      </c>
      <c r="M133" s="233"/>
      <c r="N133" s="233"/>
      <c r="O133" s="233"/>
      <c r="P133" s="233"/>
      <c r="Q133" s="185"/>
      <c r="R133" s="233">
        <v>-9254.8491900000008</v>
      </c>
      <c r="S133" s="185"/>
      <c r="T133" s="233"/>
      <c r="U133" s="185"/>
      <c r="V133" s="233">
        <v>0</v>
      </c>
    </row>
    <row r="134" spans="1:22" hidden="1" x14ac:dyDescent="0.2">
      <c r="A134" s="32" t="s">
        <v>118</v>
      </c>
      <c r="B134" s="227"/>
      <c r="C134" s="29"/>
      <c r="D134" s="233"/>
      <c r="E134" s="233"/>
      <c r="F134" s="233"/>
      <c r="G134" s="233"/>
      <c r="H134" s="233"/>
      <c r="I134" s="233"/>
      <c r="J134" s="130">
        <v>-1238.7053999999998</v>
      </c>
      <c r="K134" s="233"/>
      <c r="L134" s="233"/>
      <c r="M134" s="233"/>
      <c r="N134" s="233">
        <v>53696.19543</v>
      </c>
      <c r="O134" s="233"/>
      <c r="P134" s="233">
        <v>0</v>
      </c>
      <c r="Q134" s="185"/>
      <c r="R134" s="233">
        <v>-52457.495000000003</v>
      </c>
      <c r="S134" s="185"/>
      <c r="T134" s="233"/>
      <c r="U134" s="185"/>
      <c r="V134" s="233">
        <v>0</v>
      </c>
    </row>
    <row r="135" spans="1:22" hidden="1" x14ac:dyDescent="0.2">
      <c r="A135" s="32" t="s">
        <v>128</v>
      </c>
      <c r="B135" s="227"/>
      <c r="C135" s="29"/>
      <c r="D135" s="247"/>
      <c r="E135" s="233"/>
      <c r="F135" s="203"/>
      <c r="G135" s="233"/>
      <c r="H135" s="247"/>
      <c r="I135" s="233"/>
      <c r="J135" s="247"/>
      <c r="K135" s="233"/>
      <c r="L135" s="247"/>
      <c r="M135" s="233"/>
      <c r="N135" s="247"/>
      <c r="O135" s="233"/>
      <c r="P135" s="247"/>
      <c r="Q135" s="185"/>
      <c r="R135" s="247">
        <v>-237775.16791999998</v>
      </c>
      <c r="S135" s="185"/>
      <c r="T135" s="247"/>
      <c r="U135" s="185"/>
      <c r="V135" s="247">
        <v>-237775.16791999998</v>
      </c>
    </row>
    <row r="136" spans="1:22" hidden="1" x14ac:dyDescent="0.2">
      <c r="A136" s="248" t="s">
        <v>132</v>
      </c>
      <c r="B136" s="249"/>
      <c r="C136" s="250"/>
      <c r="D136" s="251">
        <v>3403344.0307999998</v>
      </c>
      <c r="E136" s="252"/>
      <c r="F136" s="251">
        <v>5792.4247400000004</v>
      </c>
      <c r="G136" s="252"/>
      <c r="H136" s="251">
        <v>414665.95204</v>
      </c>
      <c r="I136" s="252"/>
      <c r="J136" s="251">
        <v>0</v>
      </c>
      <c r="K136" s="252"/>
      <c r="L136" s="251">
        <v>83195.987260000009</v>
      </c>
      <c r="M136" s="252"/>
      <c r="N136" s="251">
        <v>25822.422300000013</v>
      </c>
      <c r="O136" s="252"/>
      <c r="P136" s="251">
        <v>0</v>
      </c>
      <c r="Q136" s="252"/>
      <c r="R136" s="251">
        <v>0</v>
      </c>
      <c r="S136" s="252"/>
      <c r="T136" s="251">
        <v>75201.892139999953</v>
      </c>
      <c r="U136" s="252"/>
      <c r="V136" s="251">
        <v>4008022.69485769</v>
      </c>
    </row>
    <row r="137" spans="1:22" hidden="1" x14ac:dyDescent="0.2">
      <c r="V137" s="212"/>
    </row>
    <row r="138" spans="1:22" hidden="1" x14ac:dyDescent="0.2">
      <c r="A138" s="32" t="s">
        <v>110</v>
      </c>
      <c r="B138" s="227">
        <v>13</v>
      </c>
      <c r="C138" s="29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185"/>
      <c r="R138" s="233"/>
      <c r="S138" s="185"/>
      <c r="T138" s="233">
        <v>17504.351549999999</v>
      </c>
      <c r="U138" s="185"/>
      <c r="V138" s="233">
        <f>SUM(D138:T138)</f>
        <v>17504.351549999999</v>
      </c>
    </row>
    <row r="139" spans="1:22" hidden="1" x14ac:dyDescent="0.2">
      <c r="A139" s="32" t="s">
        <v>130</v>
      </c>
      <c r="B139" s="227"/>
      <c r="C139" s="29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185"/>
      <c r="R139" s="233"/>
      <c r="S139" s="185"/>
      <c r="T139" s="233">
        <v>133631.31416000001</v>
      </c>
      <c r="U139" s="185"/>
      <c r="V139" s="233">
        <f>SUM(D139:T139)</f>
        <v>133631.31416000001</v>
      </c>
    </row>
    <row r="140" spans="1:22" hidden="1" x14ac:dyDescent="0.2">
      <c r="A140" s="32" t="s">
        <v>131</v>
      </c>
      <c r="B140" s="227"/>
      <c r="C140" s="29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185"/>
      <c r="R140" s="233"/>
      <c r="S140" s="185"/>
      <c r="T140" s="233"/>
      <c r="U140" s="185"/>
      <c r="V140" s="233"/>
    </row>
    <row r="141" spans="1:22" hidden="1" x14ac:dyDescent="0.2">
      <c r="A141" s="32" t="s">
        <v>102</v>
      </c>
      <c r="B141" s="227"/>
      <c r="C141" s="29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>
        <v>-25822.422299999998</v>
      </c>
      <c r="O141" s="233"/>
      <c r="P141" s="233"/>
      <c r="Q141" s="185"/>
      <c r="R141" s="233"/>
      <c r="S141" s="185"/>
      <c r="T141" s="233"/>
      <c r="U141" s="185"/>
      <c r="V141" s="233">
        <f>SUM(D141:T141)</f>
        <v>-25822.422299999998</v>
      </c>
    </row>
    <row r="142" spans="1:22" hidden="1" x14ac:dyDescent="0.2">
      <c r="A142" s="32" t="s">
        <v>113</v>
      </c>
      <c r="B142" s="227"/>
      <c r="C142" s="29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185"/>
      <c r="R142" s="233"/>
      <c r="S142" s="185"/>
      <c r="T142" s="233"/>
      <c r="U142" s="185"/>
      <c r="V142" s="233"/>
    </row>
    <row r="143" spans="1:22" hidden="1" x14ac:dyDescent="0.2">
      <c r="A143" s="30" t="s">
        <v>114</v>
      </c>
      <c r="B143" s="246"/>
      <c r="C143" s="25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194"/>
      <c r="R143" s="233">
        <v>121226.56842</v>
      </c>
      <c r="S143" s="194"/>
      <c r="T143" s="229"/>
      <c r="U143" s="194"/>
      <c r="V143" s="233">
        <f t="shared" ref="V143:V149" si="3">SUM(D143:T143)</f>
        <v>121226.56842</v>
      </c>
    </row>
    <row r="144" spans="1:22" hidden="1" x14ac:dyDescent="0.2">
      <c r="A144" s="32" t="s">
        <v>126</v>
      </c>
      <c r="B144" s="227"/>
      <c r="C144" s="29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185"/>
      <c r="R144" s="233"/>
      <c r="S144" s="185"/>
      <c r="T144" s="233"/>
      <c r="U144" s="185"/>
      <c r="V144" s="233">
        <f t="shared" si="3"/>
        <v>0</v>
      </c>
    </row>
    <row r="145" spans="1:23" hidden="1" x14ac:dyDescent="0.2">
      <c r="A145" s="32" t="s">
        <v>116</v>
      </c>
      <c r="B145" s="227"/>
      <c r="C145" s="29"/>
      <c r="D145" s="233"/>
      <c r="E145" s="233"/>
      <c r="F145" s="233"/>
      <c r="G145" s="233"/>
      <c r="H145" s="130">
        <f>R145*-1</f>
        <v>6061.3284199999998</v>
      </c>
      <c r="I145" s="233"/>
      <c r="J145" s="233"/>
      <c r="K145" s="233"/>
      <c r="L145" s="233"/>
      <c r="M145" s="233"/>
      <c r="N145" s="233"/>
      <c r="O145" s="233"/>
      <c r="P145" s="233"/>
      <c r="Q145" s="185"/>
      <c r="R145" s="233">
        <v>-6061.3284199999998</v>
      </c>
      <c r="S145" s="185"/>
      <c r="T145" s="233"/>
      <c r="U145" s="185"/>
      <c r="V145" s="233">
        <f t="shared" si="3"/>
        <v>0</v>
      </c>
    </row>
    <row r="146" spans="1:23" hidden="1" x14ac:dyDescent="0.2">
      <c r="A146" s="32" t="s">
        <v>117</v>
      </c>
      <c r="B146" s="227"/>
      <c r="C146" s="29"/>
      <c r="D146" s="233"/>
      <c r="E146" s="233"/>
      <c r="F146" s="233"/>
      <c r="G146" s="233"/>
      <c r="H146" s="233"/>
      <c r="I146" s="233"/>
      <c r="J146" s="233"/>
      <c r="K146" s="233"/>
      <c r="L146" s="233">
        <f>R146*-1</f>
        <v>4456.8709799999997</v>
      </c>
      <c r="M146" s="233"/>
      <c r="N146" s="233"/>
      <c r="O146" s="233"/>
      <c r="P146" s="233"/>
      <c r="Q146" s="185"/>
      <c r="R146" s="233">
        <v>-4456.8709799999997</v>
      </c>
      <c r="S146" s="185"/>
      <c r="T146" s="233"/>
      <c r="U146" s="185"/>
      <c r="V146" s="233">
        <f t="shared" si="3"/>
        <v>0</v>
      </c>
    </row>
    <row r="147" spans="1:23" hidden="1" x14ac:dyDescent="0.2">
      <c r="A147" s="32" t="s">
        <v>118</v>
      </c>
      <c r="B147" s="227">
        <v>19</v>
      </c>
      <c r="C147" s="29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>
        <f>R147*-1</f>
        <v>83031.276769999997</v>
      </c>
      <c r="O147" s="233"/>
      <c r="Q147" s="185"/>
      <c r="R147" s="233">
        <v>-83031.276769999997</v>
      </c>
      <c r="S147" s="185"/>
      <c r="T147" s="233"/>
      <c r="U147" s="185"/>
      <c r="V147" s="233">
        <f t="shared" si="3"/>
        <v>0</v>
      </c>
    </row>
    <row r="148" spans="1:23" hidden="1" x14ac:dyDescent="0.2">
      <c r="A148" s="32" t="s">
        <v>118</v>
      </c>
      <c r="B148" s="227" t="s">
        <v>125</v>
      </c>
      <c r="C148" s="29"/>
      <c r="D148" s="233"/>
      <c r="E148" s="233"/>
      <c r="F148" s="233"/>
      <c r="G148" s="233"/>
      <c r="H148" s="233"/>
      <c r="I148" s="233"/>
      <c r="J148" s="130"/>
      <c r="K148" s="233"/>
      <c r="L148" s="233"/>
      <c r="M148" s="233"/>
      <c r="N148" s="233"/>
      <c r="O148" s="233"/>
      <c r="P148" s="233"/>
      <c r="Q148" s="185"/>
      <c r="R148" s="233">
        <v>0</v>
      </c>
      <c r="S148" s="185"/>
      <c r="T148" s="233"/>
      <c r="U148" s="185"/>
      <c r="V148" s="233">
        <f t="shared" si="3"/>
        <v>0</v>
      </c>
    </row>
    <row r="149" spans="1:23" hidden="1" x14ac:dyDescent="0.2">
      <c r="A149" s="32" t="s">
        <v>133</v>
      </c>
      <c r="B149" s="227">
        <v>19</v>
      </c>
      <c r="C149" s="29"/>
      <c r="D149" s="247"/>
      <c r="E149" s="233"/>
      <c r="F149" s="203"/>
      <c r="G149" s="233"/>
      <c r="H149" s="247"/>
      <c r="I149" s="233"/>
      <c r="J149" s="247"/>
      <c r="K149" s="233"/>
      <c r="L149" s="247"/>
      <c r="M149" s="233"/>
      <c r="N149" s="247"/>
      <c r="O149" s="233"/>
      <c r="P149" s="247"/>
      <c r="Q149" s="185"/>
      <c r="R149" s="247">
        <v>-27677.092250000002</v>
      </c>
      <c r="S149" s="185"/>
      <c r="T149" s="247"/>
      <c r="U149" s="185"/>
      <c r="V149" s="247">
        <f t="shared" si="3"/>
        <v>-27677.092250000002</v>
      </c>
    </row>
    <row r="150" spans="1:23" hidden="1" x14ac:dyDescent="0.2">
      <c r="A150" s="32"/>
      <c r="B150" s="227"/>
      <c r="C150" s="29"/>
      <c r="D150" s="247"/>
      <c r="E150" s="233"/>
      <c r="F150" s="203"/>
      <c r="G150" s="233"/>
      <c r="H150" s="247"/>
      <c r="I150" s="233"/>
      <c r="J150" s="247"/>
      <c r="K150" s="233"/>
      <c r="L150" s="247"/>
      <c r="M150" s="233"/>
      <c r="N150" s="247"/>
      <c r="O150" s="233"/>
      <c r="P150" s="247"/>
      <c r="Q150" s="185"/>
      <c r="R150" s="247"/>
      <c r="S150" s="185"/>
      <c r="T150" s="247"/>
      <c r="U150" s="185"/>
      <c r="V150" s="247"/>
    </row>
    <row r="151" spans="1:23" hidden="1" x14ac:dyDescent="0.2">
      <c r="A151" s="268" t="s">
        <v>134</v>
      </c>
      <c r="B151" s="269"/>
      <c r="C151" s="270"/>
      <c r="D151" s="254">
        <v>3403344</v>
      </c>
      <c r="E151" s="255">
        <v>0</v>
      </c>
      <c r="F151" s="254">
        <v>5792</v>
      </c>
      <c r="G151" s="255"/>
      <c r="H151" s="254">
        <v>420727.6</v>
      </c>
      <c r="I151" s="255">
        <v>0</v>
      </c>
      <c r="J151" s="254">
        <v>0</v>
      </c>
      <c r="K151" s="255">
        <v>0</v>
      </c>
      <c r="L151" s="254">
        <v>87653</v>
      </c>
      <c r="M151" s="255">
        <v>0</v>
      </c>
      <c r="N151" s="254">
        <v>83031</v>
      </c>
      <c r="O151" s="255">
        <v>0</v>
      </c>
      <c r="P151" s="254">
        <v>0</v>
      </c>
      <c r="Q151" s="255">
        <v>0</v>
      </c>
      <c r="R151" s="254">
        <v>0</v>
      </c>
      <c r="S151" s="255">
        <v>0</v>
      </c>
      <c r="T151" s="254">
        <v>226338</v>
      </c>
      <c r="U151" s="255"/>
      <c r="V151" s="254">
        <f>SUM(V136:V149)</f>
        <v>4226885.4144376898</v>
      </c>
      <c r="W151" s="271"/>
    </row>
    <row r="152" spans="1:23" ht="9.75" hidden="1" customHeight="1" x14ac:dyDescent="0.2">
      <c r="A152" s="256"/>
      <c r="B152" s="257"/>
      <c r="C152" s="258"/>
      <c r="D152" s="190"/>
      <c r="E152" s="259"/>
      <c r="F152" s="190"/>
      <c r="G152" s="259"/>
      <c r="H152" s="190"/>
      <c r="I152" s="259"/>
      <c r="J152" s="190"/>
      <c r="K152" s="259"/>
      <c r="L152" s="190"/>
      <c r="M152" s="259"/>
      <c r="N152" s="190"/>
      <c r="O152" s="259"/>
      <c r="P152" s="190"/>
      <c r="Q152" s="259"/>
      <c r="R152" s="190"/>
      <c r="S152" s="259"/>
      <c r="T152" s="190"/>
      <c r="U152" s="259"/>
      <c r="V152" s="190"/>
    </row>
    <row r="153" spans="1:23" hidden="1" x14ac:dyDescent="0.2">
      <c r="A153" s="32" t="s">
        <v>110</v>
      </c>
      <c r="B153" s="227"/>
      <c r="C153" s="29"/>
      <c r="D153" s="233">
        <v>0</v>
      </c>
      <c r="E153" s="233">
        <v>0</v>
      </c>
      <c r="F153" s="233">
        <v>0</v>
      </c>
      <c r="G153" s="233"/>
      <c r="H153" s="233">
        <v>0</v>
      </c>
      <c r="I153" s="233">
        <v>0</v>
      </c>
      <c r="J153" s="233">
        <v>0</v>
      </c>
      <c r="K153" s="233">
        <v>0</v>
      </c>
      <c r="L153" s="233">
        <v>0</v>
      </c>
      <c r="M153" s="233">
        <v>0</v>
      </c>
      <c r="N153" s="233">
        <v>0</v>
      </c>
      <c r="O153" s="233">
        <v>0</v>
      </c>
      <c r="P153" s="233">
        <v>0</v>
      </c>
      <c r="Q153" s="233">
        <v>0</v>
      </c>
      <c r="R153" s="233">
        <v>0</v>
      </c>
      <c r="S153" s="233">
        <v>0</v>
      </c>
      <c r="T153" s="233">
        <v>176274</v>
      </c>
      <c r="U153" s="185"/>
      <c r="V153" s="233">
        <f t="shared" ref="V153:V161" si="4">SUM(D153:T153)</f>
        <v>176274</v>
      </c>
    </row>
    <row r="154" spans="1:23" hidden="1" x14ac:dyDescent="0.2">
      <c r="A154" s="32" t="s">
        <v>135</v>
      </c>
      <c r="B154" s="227"/>
      <c r="C154" s="29"/>
      <c r="D154" s="233">
        <v>0</v>
      </c>
      <c r="E154" s="233">
        <v>0</v>
      </c>
      <c r="F154" s="233">
        <v>0</v>
      </c>
      <c r="G154" s="233"/>
      <c r="H154" s="233">
        <v>0</v>
      </c>
      <c r="I154" s="233">
        <v>0</v>
      </c>
      <c r="J154" s="233">
        <v>0</v>
      </c>
      <c r="K154" s="233">
        <v>0</v>
      </c>
      <c r="L154" s="233">
        <v>0</v>
      </c>
      <c r="M154" s="233">
        <v>0</v>
      </c>
      <c r="N154" s="233">
        <v>0</v>
      </c>
      <c r="O154" s="233">
        <v>0</v>
      </c>
      <c r="P154" s="233">
        <v>0</v>
      </c>
      <c r="Q154" s="185"/>
      <c r="R154" s="233">
        <v>0</v>
      </c>
      <c r="S154" s="185"/>
      <c r="T154" s="233">
        <v>-48902</v>
      </c>
      <c r="U154" s="185"/>
      <c r="V154" s="233">
        <f t="shared" si="4"/>
        <v>-48902</v>
      </c>
    </row>
    <row r="155" spans="1:23" hidden="1" x14ac:dyDescent="0.2">
      <c r="A155" s="32" t="s">
        <v>136</v>
      </c>
      <c r="B155" s="227"/>
      <c r="C155" s="29"/>
      <c r="D155" s="233">
        <v>0</v>
      </c>
      <c r="E155" s="233">
        <v>0</v>
      </c>
      <c r="F155" s="233">
        <v>0</v>
      </c>
      <c r="G155" s="233"/>
      <c r="H155" s="233">
        <v>0</v>
      </c>
      <c r="I155" s="233">
        <v>0</v>
      </c>
      <c r="J155" s="233">
        <v>0</v>
      </c>
      <c r="K155" s="233">
        <v>0</v>
      </c>
      <c r="L155" s="233">
        <v>0</v>
      </c>
      <c r="M155" s="233">
        <v>0</v>
      </c>
      <c r="N155" s="233">
        <v>0</v>
      </c>
      <c r="O155" s="233">
        <v>0</v>
      </c>
      <c r="P155" s="233">
        <v>0</v>
      </c>
      <c r="Q155" s="185"/>
      <c r="R155" s="233">
        <v>-29554</v>
      </c>
      <c r="S155" s="185"/>
      <c r="T155" s="233">
        <v>0</v>
      </c>
      <c r="U155" s="185"/>
      <c r="V155" s="233">
        <f t="shared" si="4"/>
        <v>-29554</v>
      </c>
    </row>
    <row r="156" spans="1:23" hidden="1" x14ac:dyDescent="0.2">
      <c r="A156" s="32" t="s">
        <v>145</v>
      </c>
      <c r="B156" s="227"/>
      <c r="C156" s="29"/>
      <c r="D156" s="233">
        <v>0</v>
      </c>
      <c r="E156" s="233">
        <v>0</v>
      </c>
      <c r="F156" s="233">
        <v>0</v>
      </c>
      <c r="G156" s="233"/>
      <c r="H156" s="233">
        <v>0</v>
      </c>
      <c r="I156" s="233">
        <v>0</v>
      </c>
      <c r="J156" s="233">
        <v>0</v>
      </c>
      <c r="K156" s="233">
        <v>0</v>
      </c>
      <c r="L156" s="233">
        <v>0</v>
      </c>
      <c r="M156" s="233">
        <v>0</v>
      </c>
      <c r="N156" s="233">
        <v>-83031</v>
      </c>
      <c r="O156" s="233">
        <v>0</v>
      </c>
      <c r="P156" s="233">
        <v>0</v>
      </c>
      <c r="Q156" s="233">
        <v>0</v>
      </c>
      <c r="R156" s="233">
        <v>0</v>
      </c>
      <c r="S156" s="233">
        <v>0</v>
      </c>
      <c r="T156" s="233">
        <v>0</v>
      </c>
      <c r="U156" s="185"/>
      <c r="V156" s="233">
        <f>SUM(D156:T156)</f>
        <v>-83031</v>
      </c>
    </row>
    <row r="157" spans="1:23" hidden="1" x14ac:dyDescent="0.2">
      <c r="A157" s="30" t="s">
        <v>146</v>
      </c>
      <c r="B157" s="227"/>
      <c r="C157" s="29"/>
      <c r="D157" s="233">
        <v>0</v>
      </c>
      <c r="E157" s="233">
        <v>0</v>
      </c>
      <c r="F157" s="233">
        <v>0</v>
      </c>
      <c r="G157" s="233"/>
      <c r="H157" s="233">
        <v>0</v>
      </c>
      <c r="I157" s="233">
        <v>0</v>
      </c>
      <c r="J157" s="233">
        <v>0</v>
      </c>
      <c r="K157" s="233">
        <v>0</v>
      </c>
      <c r="L157" s="233">
        <v>0</v>
      </c>
      <c r="M157" s="233">
        <v>0</v>
      </c>
      <c r="N157" s="233">
        <v>0</v>
      </c>
      <c r="O157" s="233">
        <v>0</v>
      </c>
      <c r="P157" s="233">
        <v>0</v>
      </c>
      <c r="Q157" s="185"/>
      <c r="R157" s="233">
        <v>-809221.5</v>
      </c>
      <c r="S157" s="185"/>
      <c r="T157" s="233">
        <v>0</v>
      </c>
      <c r="U157" s="185"/>
      <c r="V157" s="233">
        <f t="shared" si="4"/>
        <v>-809221.5</v>
      </c>
    </row>
    <row r="158" spans="1:23" hidden="1" x14ac:dyDescent="0.2">
      <c r="A158" s="32" t="s">
        <v>138</v>
      </c>
      <c r="B158" s="227"/>
      <c r="C158" s="29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185"/>
      <c r="R158" s="233"/>
      <c r="S158" s="185"/>
      <c r="T158" s="233"/>
      <c r="U158" s="185"/>
      <c r="V158" s="233">
        <f t="shared" si="4"/>
        <v>0</v>
      </c>
    </row>
    <row r="159" spans="1:23" hidden="1" x14ac:dyDescent="0.2">
      <c r="A159" s="32" t="s">
        <v>139</v>
      </c>
      <c r="B159" s="227"/>
      <c r="C159" s="29"/>
      <c r="D159" s="233">
        <v>0</v>
      </c>
      <c r="E159" s="233"/>
      <c r="F159" s="233">
        <v>-5792</v>
      </c>
      <c r="G159" s="233"/>
      <c r="H159" s="233">
        <v>0</v>
      </c>
      <c r="I159" s="233">
        <v>0</v>
      </c>
      <c r="J159" s="233">
        <v>0</v>
      </c>
      <c r="K159" s="233">
        <v>0</v>
      </c>
      <c r="L159" s="233">
        <v>0</v>
      </c>
      <c r="M159" s="233">
        <v>0</v>
      </c>
      <c r="N159" s="233">
        <v>0</v>
      </c>
      <c r="O159" s="233">
        <v>0</v>
      </c>
      <c r="P159" s="233">
        <v>0</v>
      </c>
      <c r="Q159" s="233">
        <v>0</v>
      </c>
      <c r="R159" s="233">
        <v>5792</v>
      </c>
      <c r="S159" s="185"/>
      <c r="T159" s="233">
        <v>0</v>
      </c>
      <c r="U159" s="185"/>
      <c r="V159" s="233">
        <f t="shared" si="4"/>
        <v>0</v>
      </c>
    </row>
    <row r="160" spans="1:23" hidden="1" x14ac:dyDescent="0.2">
      <c r="A160" s="32" t="s">
        <v>116</v>
      </c>
      <c r="B160" s="227"/>
      <c r="C160" s="29"/>
      <c r="D160" s="233">
        <v>0</v>
      </c>
      <c r="E160" s="233">
        <v>0</v>
      </c>
      <c r="F160" s="233">
        <v>0</v>
      </c>
      <c r="G160" s="233"/>
      <c r="H160" s="233">
        <f>-H151</f>
        <v>-420727.6</v>
      </c>
      <c r="I160" s="233"/>
      <c r="J160" s="233">
        <v>0</v>
      </c>
      <c r="K160" s="233">
        <v>0</v>
      </c>
      <c r="L160" s="233">
        <v>0</v>
      </c>
      <c r="M160" s="233">
        <v>0</v>
      </c>
      <c r="N160" s="233">
        <v>0</v>
      </c>
      <c r="O160" s="233">
        <v>0</v>
      </c>
      <c r="P160" s="233">
        <v>0</v>
      </c>
      <c r="Q160" s="233">
        <v>0</v>
      </c>
      <c r="R160" s="233">
        <f>-H160</f>
        <v>420727.6</v>
      </c>
      <c r="S160" s="185"/>
      <c r="T160" s="233">
        <v>0</v>
      </c>
      <c r="U160" s="185"/>
      <c r="V160" s="233">
        <f t="shared" si="4"/>
        <v>0</v>
      </c>
    </row>
    <row r="161" spans="1:26" hidden="1" x14ac:dyDescent="0.2">
      <c r="A161" s="32" t="s">
        <v>117</v>
      </c>
      <c r="B161" s="227"/>
      <c r="C161" s="29"/>
      <c r="D161" s="233">
        <v>0</v>
      </c>
      <c r="E161" s="233">
        <v>0</v>
      </c>
      <c r="F161" s="233">
        <v>0</v>
      </c>
      <c r="G161" s="233"/>
      <c r="H161" s="233">
        <v>0</v>
      </c>
      <c r="I161" s="233">
        <v>0</v>
      </c>
      <c r="J161" s="233">
        <v>0</v>
      </c>
      <c r="K161" s="233">
        <v>0</v>
      </c>
      <c r="L161" s="233">
        <v>-87653</v>
      </c>
      <c r="M161" s="233"/>
      <c r="N161" s="233">
        <v>0</v>
      </c>
      <c r="O161" s="233">
        <v>0</v>
      </c>
      <c r="P161" s="233">
        <v>0</v>
      </c>
      <c r="Q161" s="185"/>
      <c r="R161" s="233">
        <v>87653</v>
      </c>
      <c r="S161" s="185"/>
      <c r="T161" s="233">
        <v>0</v>
      </c>
      <c r="U161" s="185"/>
      <c r="V161" s="233">
        <f t="shared" si="4"/>
        <v>0</v>
      </c>
    </row>
    <row r="162" spans="1:26" ht="6" hidden="1" customHeight="1" x14ac:dyDescent="0.2">
      <c r="A162" s="32"/>
      <c r="B162" s="227"/>
      <c r="C162" s="29"/>
      <c r="D162" s="233"/>
      <c r="E162" s="233"/>
      <c r="F162" s="233"/>
      <c r="G162" s="233"/>
      <c r="H162" s="233"/>
      <c r="I162" s="233"/>
      <c r="J162" s="130"/>
      <c r="K162" s="233"/>
      <c r="L162" s="233"/>
      <c r="M162" s="233"/>
      <c r="N162" s="233"/>
      <c r="O162" s="233"/>
      <c r="P162" s="233"/>
      <c r="Q162" s="185"/>
      <c r="R162" s="233"/>
      <c r="S162" s="185"/>
      <c r="T162" s="233"/>
      <c r="U162" s="185"/>
      <c r="V162" s="233"/>
      <c r="W162" s="39"/>
    </row>
    <row r="163" spans="1:26" x14ac:dyDescent="0.2">
      <c r="A163" s="268" t="s">
        <v>140</v>
      </c>
      <c r="B163" s="269"/>
      <c r="C163" s="270"/>
      <c r="D163" s="254">
        <f t="shared" ref="D163:V163" si="5">SUM(D151:D161)</f>
        <v>3403344</v>
      </c>
      <c r="E163" s="254">
        <f t="shared" si="5"/>
        <v>0</v>
      </c>
      <c r="F163" s="254">
        <f t="shared" si="5"/>
        <v>0</v>
      </c>
      <c r="G163" s="254"/>
      <c r="H163" s="254">
        <f t="shared" si="5"/>
        <v>0</v>
      </c>
      <c r="I163" s="254">
        <f t="shared" si="5"/>
        <v>0</v>
      </c>
      <c r="J163" s="254">
        <f t="shared" si="5"/>
        <v>0</v>
      </c>
      <c r="K163" s="254">
        <f t="shared" si="5"/>
        <v>0</v>
      </c>
      <c r="L163" s="254">
        <f t="shared" si="5"/>
        <v>0</v>
      </c>
      <c r="M163" s="254">
        <f t="shared" si="5"/>
        <v>0</v>
      </c>
      <c r="N163" s="254">
        <f t="shared" si="5"/>
        <v>0</v>
      </c>
      <c r="O163" s="254">
        <f t="shared" si="5"/>
        <v>0</v>
      </c>
      <c r="P163" s="254">
        <f t="shared" si="5"/>
        <v>0</v>
      </c>
      <c r="Q163" s="254">
        <f t="shared" si="5"/>
        <v>0</v>
      </c>
      <c r="R163" s="254">
        <f t="shared" si="5"/>
        <v>-324602.90000000002</v>
      </c>
      <c r="S163" s="254">
        <f t="shared" si="5"/>
        <v>0</v>
      </c>
      <c r="T163" s="254">
        <f t="shared" si="5"/>
        <v>353710</v>
      </c>
      <c r="U163" s="254">
        <f t="shared" si="5"/>
        <v>0</v>
      </c>
      <c r="V163" s="254">
        <f t="shared" si="5"/>
        <v>3432450.9144376898</v>
      </c>
      <c r="W163" s="39"/>
      <c r="Z163" s="272"/>
    </row>
    <row r="164" spans="1:26" x14ac:dyDescent="0.2">
      <c r="A164" s="32"/>
      <c r="B164" s="227"/>
      <c r="C164" s="29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39"/>
    </row>
    <row r="165" spans="1:26" x14ac:dyDescent="0.2">
      <c r="A165" s="32" t="s">
        <v>110</v>
      </c>
      <c r="B165" s="33"/>
      <c r="C165" s="29"/>
      <c r="D165" s="233">
        <v>0</v>
      </c>
      <c r="E165" s="233">
        <v>0</v>
      </c>
      <c r="F165" s="233">
        <v>0</v>
      </c>
      <c r="G165" s="233">
        <v>0</v>
      </c>
      <c r="H165" s="233">
        <v>0</v>
      </c>
      <c r="I165" s="233">
        <v>0</v>
      </c>
      <c r="J165" s="233">
        <v>0</v>
      </c>
      <c r="K165" s="233">
        <v>0</v>
      </c>
      <c r="L165" s="233">
        <v>0</v>
      </c>
      <c r="M165" s="233">
        <v>0</v>
      </c>
      <c r="N165" s="233">
        <v>0</v>
      </c>
      <c r="O165" s="233">
        <v>0</v>
      </c>
      <c r="P165" s="233">
        <v>0</v>
      </c>
      <c r="Q165" s="233">
        <v>0</v>
      </c>
      <c r="R165" s="233">
        <v>0</v>
      </c>
      <c r="S165" s="233">
        <v>0</v>
      </c>
      <c r="T165" s="233">
        <f>+DRA!E25</f>
        <v>88435</v>
      </c>
      <c r="U165" s="233"/>
      <c r="V165" s="233">
        <f t="shared" ref="V165:V166" si="6">SUM(D165:T165)</f>
        <v>88435</v>
      </c>
      <c r="W165" s="39"/>
    </row>
    <row r="166" spans="1:26" x14ac:dyDescent="0.2">
      <c r="A166" s="32" t="s">
        <v>141</v>
      </c>
      <c r="B166" s="33"/>
      <c r="C166" s="29"/>
      <c r="D166" s="233">
        <v>0</v>
      </c>
      <c r="E166" s="233">
        <v>0</v>
      </c>
      <c r="F166" s="233">
        <v>0</v>
      </c>
      <c r="G166" s="233">
        <v>0</v>
      </c>
      <c r="H166" s="233">
        <v>0</v>
      </c>
      <c r="I166" s="233">
        <v>0</v>
      </c>
      <c r="J166" s="233">
        <v>0</v>
      </c>
      <c r="K166" s="233">
        <v>0</v>
      </c>
      <c r="L166" s="233">
        <v>0</v>
      </c>
      <c r="M166" s="233">
        <v>0</v>
      </c>
      <c r="N166" s="233">
        <v>0</v>
      </c>
      <c r="O166" s="233">
        <v>0</v>
      </c>
      <c r="P166" s="233">
        <v>0</v>
      </c>
      <c r="Q166" s="233">
        <v>0</v>
      </c>
      <c r="R166" s="233">
        <f>+DRA!E9</f>
        <v>203203</v>
      </c>
      <c r="S166" s="233">
        <v>0</v>
      </c>
      <c r="T166" s="233">
        <v>0</v>
      </c>
      <c r="U166" s="233"/>
      <c r="V166" s="233">
        <f t="shared" si="6"/>
        <v>203203</v>
      </c>
      <c r="W166" s="39"/>
    </row>
    <row r="167" spans="1:26" ht="6" customHeight="1" x14ac:dyDescent="0.2">
      <c r="A167" s="32"/>
      <c r="B167" s="33"/>
      <c r="C167" s="29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185"/>
      <c r="V167" s="233"/>
      <c r="W167" s="39"/>
    </row>
    <row r="168" spans="1:26" x14ac:dyDescent="0.2">
      <c r="A168" s="268" t="s">
        <v>147</v>
      </c>
      <c r="B168" s="273"/>
      <c r="C168" s="270"/>
      <c r="D168" s="254">
        <f>SUM(D163:D166)</f>
        <v>3403344</v>
      </c>
      <c r="E168" s="254">
        <f t="shared" ref="E168:V168" si="7">SUM(E163:E166)</f>
        <v>0</v>
      </c>
      <c r="F168" s="254">
        <f t="shared" si="7"/>
        <v>0</v>
      </c>
      <c r="G168" s="254">
        <f t="shared" si="7"/>
        <v>0</v>
      </c>
      <c r="H168" s="254">
        <f t="shared" si="7"/>
        <v>0</v>
      </c>
      <c r="I168" s="254">
        <f t="shared" si="7"/>
        <v>0</v>
      </c>
      <c r="J168" s="254">
        <f t="shared" si="7"/>
        <v>0</v>
      </c>
      <c r="K168" s="254">
        <f t="shared" si="7"/>
        <v>0</v>
      </c>
      <c r="L168" s="254">
        <f t="shared" si="7"/>
        <v>0</v>
      </c>
      <c r="M168" s="254">
        <f t="shared" si="7"/>
        <v>0</v>
      </c>
      <c r="N168" s="254">
        <f t="shared" si="7"/>
        <v>0</v>
      </c>
      <c r="O168" s="254">
        <f t="shared" si="7"/>
        <v>0</v>
      </c>
      <c r="P168" s="254">
        <f t="shared" si="7"/>
        <v>0</v>
      </c>
      <c r="Q168" s="254">
        <f t="shared" si="7"/>
        <v>0</v>
      </c>
      <c r="R168" s="254">
        <f t="shared" si="7"/>
        <v>-121399.90000000002</v>
      </c>
      <c r="S168" s="254">
        <f t="shared" si="7"/>
        <v>0</v>
      </c>
      <c r="T168" s="254">
        <f t="shared" si="7"/>
        <v>442145</v>
      </c>
      <c r="U168" s="254">
        <f t="shared" si="7"/>
        <v>0</v>
      </c>
      <c r="V168" s="254">
        <f t="shared" si="7"/>
        <v>3724088.9144376898</v>
      </c>
      <c r="W168" s="39"/>
      <c r="Z168" s="272"/>
    </row>
    <row r="169" spans="1:26" x14ac:dyDescent="0.2">
      <c r="A169" s="176"/>
      <c r="B169" s="153"/>
      <c r="C169" s="274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39"/>
      <c r="Z169" s="272"/>
    </row>
    <row r="170" spans="1:26" x14ac:dyDescent="0.2">
      <c r="A170" s="32" t="s">
        <v>110</v>
      </c>
      <c r="B170" s="33" t="s">
        <v>92</v>
      </c>
      <c r="C170" s="29"/>
      <c r="D170" s="233">
        <v>0</v>
      </c>
      <c r="E170" s="233">
        <v>0</v>
      </c>
      <c r="F170" s="233">
        <v>0</v>
      </c>
      <c r="G170" s="233"/>
      <c r="H170" s="233">
        <v>0</v>
      </c>
      <c r="I170" s="233">
        <v>0</v>
      </c>
      <c r="J170" s="233">
        <v>0</v>
      </c>
      <c r="K170" s="233">
        <v>0</v>
      </c>
      <c r="L170" s="233">
        <v>0</v>
      </c>
      <c r="M170" s="233">
        <v>0</v>
      </c>
      <c r="N170" s="233">
        <v>0</v>
      </c>
      <c r="O170" s="233">
        <v>0</v>
      </c>
      <c r="P170" s="233">
        <v>0</v>
      </c>
      <c r="Q170" s="233">
        <v>0</v>
      </c>
      <c r="R170" s="233">
        <v>0</v>
      </c>
      <c r="S170" s="233">
        <v>0</v>
      </c>
      <c r="T170" s="233">
        <f>46449-T165</f>
        <v>-41986</v>
      </c>
      <c r="U170" s="233"/>
      <c r="V170" s="233">
        <f t="shared" ref="V170:V179" si="8">SUM(D170:T170)</f>
        <v>-41986</v>
      </c>
      <c r="W170" s="39"/>
    </row>
    <row r="171" spans="1:26" x14ac:dyDescent="0.2">
      <c r="A171" s="32" t="s">
        <v>135</v>
      </c>
      <c r="B171" s="33"/>
      <c r="C171" s="29"/>
      <c r="D171" s="233">
        <v>0</v>
      </c>
      <c r="E171" s="233">
        <v>0</v>
      </c>
      <c r="F171" s="233">
        <v>0</v>
      </c>
      <c r="G171" s="233"/>
      <c r="H171" s="233">
        <v>0</v>
      </c>
      <c r="I171" s="233">
        <v>0</v>
      </c>
      <c r="J171" s="233">
        <v>0</v>
      </c>
      <c r="K171" s="233">
        <v>0</v>
      </c>
      <c r="L171" s="233">
        <v>0</v>
      </c>
      <c r="M171" s="233">
        <v>0</v>
      </c>
      <c r="N171" s="233">
        <v>0</v>
      </c>
      <c r="O171" s="233">
        <v>0</v>
      </c>
      <c r="P171" s="233">
        <v>0</v>
      </c>
      <c r="Q171" s="233">
        <v>0</v>
      </c>
      <c r="R171" s="233">
        <v>0</v>
      </c>
      <c r="S171" s="233">
        <v>0</v>
      </c>
      <c r="T171" s="233">
        <v>-481371</v>
      </c>
      <c r="U171" s="233"/>
      <c r="V171" s="233">
        <f t="shared" si="8"/>
        <v>-481371</v>
      </c>
      <c r="W171" s="39"/>
      <c r="Z171" s="272"/>
    </row>
    <row r="172" spans="1:26" hidden="1" x14ac:dyDescent="0.2">
      <c r="A172" s="32" t="s">
        <v>136</v>
      </c>
      <c r="B172" s="33"/>
      <c r="C172" s="29"/>
      <c r="D172" s="233">
        <v>0</v>
      </c>
      <c r="E172" s="233">
        <v>0</v>
      </c>
      <c r="F172" s="233">
        <v>0</v>
      </c>
      <c r="G172" s="233"/>
      <c r="H172" s="233">
        <v>0</v>
      </c>
      <c r="I172" s="233">
        <v>0</v>
      </c>
      <c r="J172" s="233">
        <v>0</v>
      </c>
      <c r="K172" s="233">
        <v>0</v>
      </c>
      <c r="L172" s="233">
        <v>0</v>
      </c>
      <c r="M172" s="233">
        <v>0</v>
      </c>
      <c r="N172" s="233">
        <v>0</v>
      </c>
      <c r="O172" s="233">
        <v>0</v>
      </c>
      <c r="P172" s="233">
        <v>0</v>
      </c>
      <c r="Q172" s="233">
        <v>0</v>
      </c>
      <c r="R172" s="233">
        <v>0</v>
      </c>
      <c r="S172" s="233">
        <v>0</v>
      </c>
      <c r="T172" s="233">
        <v>0</v>
      </c>
      <c r="U172" s="233"/>
      <c r="V172" s="233">
        <f t="shared" si="8"/>
        <v>0</v>
      </c>
      <c r="W172" s="39"/>
      <c r="Z172" s="272"/>
    </row>
    <row r="173" spans="1:26" x14ac:dyDescent="0.2">
      <c r="A173" s="30" t="s">
        <v>148</v>
      </c>
      <c r="B173" s="33"/>
      <c r="C173" s="29"/>
      <c r="D173" s="233">
        <v>0</v>
      </c>
      <c r="E173" s="233">
        <v>0</v>
      </c>
      <c r="F173" s="233">
        <v>0</v>
      </c>
      <c r="G173" s="233"/>
      <c r="H173" s="233">
        <v>0</v>
      </c>
      <c r="I173" s="233">
        <v>0</v>
      </c>
      <c r="J173" s="233">
        <v>0</v>
      </c>
      <c r="K173" s="233">
        <v>0</v>
      </c>
      <c r="L173" s="233">
        <v>0</v>
      </c>
      <c r="M173" s="233">
        <v>0</v>
      </c>
      <c r="N173" s="233">
        <v>0</v>
      </c>
      <c r="O173" s="233">
        <v>0</v>
      </c>
      <c r="P173" s="233">
        <v>0</v>
      </c>
      <c r="Q173" s="233">
        <v>0</v>
      </c>
      <c r="R173" s="233">
        <f>610649-R166-0.1</f>
        <v>407445.9</v>
      </c>
      <c r="S173" s="233">
        <v>0</v>
      </c>
      <c r="T173" s="233">
        <v>0</v>
      </c>
      <c r="U173" s="233"/>
      <c r="V173" s="233">
        <f t="shared" si="8"/>
        <v>407445.9</v>
      </c>
      <c r="W173" s="39"/>
    </row>
    <row r="174" spans="1:26" x14ac:dyDescent="0.2">
      <c r="A174" s="32" t="s">
        <v>126</v>
      </c>
      <c r="B174" s="33"/>
      <c r="C174" s="29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>
        <f t="shared" si="8"/>
        <v>0</v>
      </c>
      <c r="W174" s="39"/>
    </row>
    <row r="175" spans="1:26" hidden="1" x14ac:dyDescent="0.2">
      <c r="A175" s="32" t="s">
        <v>139</v>
      </c>
      <c r="B175" s="33"/>
      <c r="C175" s="29"/>
      <c r="D175" s="233">
        <v>0</v>
      </c>
      <c r="E175" s="233"/>
      <c r="F175" s="233">
        <v>0</v>
      </c>
      <c r="G175" s="233"/>
      <c r="H175" s="233">
        <v>0</v>
      </c>
      <c r="I175" s="233">
        <v>0</v>
      </c>
      <c r="J175" s="233">
        <v>0</v>
      </c>
      <c r="K175" s="233">
        <v>0</v>
      </c>
      <c r="L175" s="233">
        <v>0</v>
      </c>
      <c r="M175" s="233">
        <v>0</v>
      </c>
      <c r="N175" s="233">
        <v>0</v>
      </c>
      <c r="O175" s="233">
        <v>0</v>
      </c>
      <c r="P175" s="233">
        <v>0</v>
      </c>
      <c r="Q175" s="233">
        <v>0</v>
      </c>
      <c r="R175" s="233">
        <v>0</v>
      </c>
      <c r="S175" s="233">
        <v>0</v>
      </c>
      <c r="T175" s="233">
        <v>0</v>
      </c>
      <c r="U175" s="233"/>
      <c r="V175" s="233">
        <f t="shared" si="8"/>
        <v>0</v>
      </c>
      <c r="W175" s="39"/>
    </row>
    <row r="176" spans="1:26" x14ac:dyDescent="0.2">
      <c r="A176" s="32" t="s">
        <v>116</v>
      </c>
      <c r="B176" s="33"/>
      <c r="C176" s="29"/>
      <c r="D176" s="233">
        <v>0</v>
      </c>
      <c r="E176" s="233">
        <v>0</v>
      </c>
      <c r="F176" s="233">
        <v>0</v>
      </c>
      <c r="G176" s="233"/>
      <c r="H176" s="233">
        <v>14302</v>
      </c>
      <c r="I176" s="233"/>
      <c r="J176" s="233">
        <v>0</v>
      </c>
      <c r="K176" s="233">
        <v>0</v>
      </c>
      <c r="L176" s="233">
        <v>0</v>
      </c>
      <c r="M176" s="233">
        <v>0</v>
      </c>
      <c r="N176" s="233">
        <v>0</v>
      </c>
      <c r="O176" s="233">
        <v>0</v>
      </c>
      <c r="P176" s="233">
        <v>0</v>
      </c>
      <c r="Q176" s="233">
        <v>0</v>
      </c>
      <c r="R176" s="233">
        <v>-14302</v>
      </c>
      <c r="S176" s="233">
        <v>0</v>
      </c>
      <c r="T176" s="233">
        <v>0</v>
      </c>
      <c r="U176" s="233"/>
      <c r="V176" s="233">
        <f t="shared" si="8"/>
        <v>0</v>
      </c>
      <c r="W176" s="39"/>
    </row>
    <row r="177" spans="1:26" x14ac:dyDescent="0.2">
      <c r="A177" s="32" t="s">
        <v>117</v>
      </c>
      <c r="B177" s="33"/>
      <c r="C177" s="29"/>
      <c r="D177" s="233">
        <v>0</v>
      </c>
      <c r="E177" s="233">
        <v>0</v>
      </c>
      <c r="F177" s="233">
        <v>0</v>
      </c>
      <c r="G177" s="233"/>
      <c r="H177" s="233">
        <v>0</v>
      </c>
      <c r="I177" s="233">
        <v>0</v>
      </c>
      <c r="J177" s="233">
        <v>0</v>
      </c>
      <c r="K177" s="233">
        <v>0</v>
      </c>
      <c r="L177" s="233">
        <v>99619</v>
      </c>
      <c r="M177" s="233">
        <v>0</v>
      </c>
      <c r="N177" s="233">
        <v>0</v>
      </c>
      <c r="O177" s="233">
        <v>0</v>
      </c>
      <c r="P177" s="233">
        <v>0</v>
      </c>
      <c r="Q177" s="233">
        <v>0</v>
      </c>
      <c r="R177" s="233">
        <v>-99619</v>
      </c>
      <c r="S177" s="233">
        <v>0</v>
      </c>
      <c r="T177" s="233">
        <v>0</v>
      </c>
      <c r="U177" s="233"/>
      <c r="V177" s="233">
        <f t="shared" si="8"/>
        <v>0</v>
      </c>
      <c r="W177" s="39"/>
    </row>
    <row r="178" spans="1:26" x14ac:dyDescent="0.2">
      <c r="A178" s="32" t="s">
        <v>149</v>
      </c>
      <c r="B178" s="33"/>
      <c r="C178" s="29"/>
      <c r="D178" s="233">
        <v>0</v>
      </c>
      <c r="E178" s="233">
        <v>0</v>
      </c>
      <c r="F178" s="233">
        <v>0</v>
      </c>
      <c r="G178" s="233"/>
      <c r="H178" s="233">
        <v>0</v>
      </c>
      <c r="I178" s="233">
        <v>0</v>
      </c>
      <c r="J178" s="233">
        <v>0</v>
      </c>
      <c r="K178" s="233">
        <v>0</v>
      </c>
      <c r="L178" s="233">
        <v>0</v>
      </c>
      <c r="M178" s="233">
        <v>0</v>
      </c>
      <c r="N178" s="233">
        <v>129094</v>
      </c>
      <c r="O178" s="233">
        <v>0</v>
      </c>
      <c r="P178" s="233">
        <v>0</v>
      </c>
      <c r="Q178" s="233">
        <v>0</v>
      </c>
      <c r="R178" s="233">
        <v>-129094</v>
      </c>
      <c r="S178" s="233">
        <v>0</v>
      </c>
      <c r="T178" s="233">
        <v>0</v>
      </c>
      <c r="U178" s="233"/>
      <c r="V178" s="233">
        <f t="shared" si="8"/>
        <v>0</v>
      </c>
      <c r="W178" s="39"/>
    </row>
    <row r="179" spans="1:26" x14ac:dyDescent="0.2">
      <c r="A179" s="32" t="s">
        <v>133</v>
      </c>
      <c r="B179" s="33"/>
      <c r="C179" s="29"/>
      <c r="D179" s="233">
        <v>0</v>
      </c>
      <c r="E179" s="233">
        <v>0</v>
      </c>
      <c r="F179" s="233">
        <v>0</v>
      </c>
      <c r="G179" s="233">
        <v>0</v>
      </c>
      <c r="H179" s="233">
        <v>0</v>
      </c>
      <c r="I179" s="233">
        <v>0</v>
      </c>
      <c r="J179" s="233">
        <v>0</v>
      </c>
      <c r="K179" s="233">
        <v>0</v>
      </c>
      <c r="L179" s="233">
        <v>0</v>
      </c>
      <c r="M179" s="233">
        <v>0</v>
      </c>
      <c r="N179" s="233">
        <v>0</v>
      </c>
      <c r="O179" s="233">
        <v>0</v>
      </c>
      <c r="P179" s="233">
        <v>0</v>
      </c>
      <c r="Q179" s="233">
        <v>0</v>
      </c>
      <c r="R179" s="233">
        <v>-43031</v>
      </c>
      <c r="S179" s="233">
        <v>0</v>
      </c>
      <c r="T179" s="233">
        <v>0</v>
      </c>
      <c r="U179" s="233">
        <v>0</v>
      </c>
      <c r="V179" s="233">
        <f t="shared" si="8"/>
        <v>-43031</v>
      </c>
      <c r="W179" s="39"/>
    </row>
    <row r="180" spans="1:26" x14ac:dyDescent="0.2">
      <c r="A180" s="32"/>
      <c r="B180" s="33"/>
      <c r="C180" s="29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39"/>
    </row>
    <row r="181" spans="1:26" x14ac:dyDescent="0.2">
      <c r="A181" s="268" t="s">
        <v>150</v>
      </c>
      <c r="B181" s="273"/>
      <c r="C181" s="270"/>
      <c r="D181" s="276">
        <f>SUM(D168:E179)</f>
        <v>3403344</v>
      </c>
      <c r="E181" s="276">
        <f t="shared" ref="E181:U181" si="9">SUM(E168:F179)</f>
        <v>0</v>
      </c>
      <c r="F181" s="276">
        <f t="shared" si="9"/>
        <v>0</v>
      </c>
      <c r="G181" s="276">
        <f t="shared" si="9"/>
        <v>14302</v>
      </c>
      <c r="H181" s="276">
        <f t="shared" si="9"/>
        <v>14302</v>
      </c>
      <c r="I181" s="276">
        <f t="shared" si="9"/>
        <v>0</v>
      </c>
      <c r="J181" s="276">
        <f t="shared" si="9"/>
        <v>0</v>
      </c>
      <c r="K181" s="276">
        <f t="shared" si="9"/>
        <v>99619</v>
      </c>
      <c r="L181" s="276">
        <f t="shared" si="9"/>
        <v>99619</v>
      </c>
      <c r="M181" s="276">
        <f t="shared" si="9"/>
        <v>129094</v>
      </c>
      <c r="N181" s="276">
        <f t="shared" si="9"/>
        <v>129094</v>
      </c>
      <c r="O181" s="276">
        <f t="shared" si="9"/>
        <v>0</v>
      </c>
      <c r="P181" s="276">
        <f t="shared" si="9"/>
        <v>0</v>
      </c>
      <c r="Q181" s="276">
        <f t="shared" si="9"/>
        <v>0</v>
      </c>
      <c r="R181" s="277">
        <f t="shared" si="9"/>
        <v>0</v>
      </c>
      <c r="S181" s="276">
        <f t="shared" si="9"/>
        <v>-81212</v>
      </c>
      <c r="T181" s="254">
        <f t="shared" si="9"/>
        <v>-81212</v>
      </c>
      <c r="U181" s="276">
        <f t="shared" si="9"/>
        <v>3565146.8144376897</v>
      </c>
      <c r="V181" s="276">
        <f>SUM(V168:V179)</f>
        <v>3565146.8144376897</v>
      </c>
      <c r="W181" s="39"/>
    </row>
    <row r="182" spans="1:26" x14ac:dyDescent="0.2">
      <c r="A182" s="32"/>
      <c r="B182" s="33"/>
      <c r="C182" s="29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185"/>
      <c r="V182" s="233"/>
      <c r="W182" s="39"/>
    </row>
    <row r="183" spans="1:26" x14ac:dyDescent="0.2">
      <c r="A183" s="32" t="s">
        <v>110</v>
      </c>
      <c r="B183" s="33" t="s">
        <v>92</v>
      </c>
      <c r="C183" s="29"/>
      <c r="D183" s="233">
        <v>0</v>
      </c>
      <c r="E183" s="233">
        <v>0</v>
      </c>
      <c r="F183" s="233">
        <v>0</v>
      </c>
      <c r="G183" s="233">
        <v>0</v>
      </c>
      <c r="H183" s="233">
        <v>0</v>
      </c>
      <c r="I183" s="233">
        <v>0</v>
      </c>
      <c r="J183" s="233">
        <v>0</v>
      </c>
      <c r="K183" s="233">
        <v>0</v>
      </c>
      <c r="L183" s="233">
        <v>0</v>
      </c>
      <c r="M183" s="233">
        <v>0</v>
      </c>
      <c r="N183" s="233">
        <v>0</v>
      </c>
      <c r="O183" s="233">
        <v>0</v>
      </c>
      <c r="P183" s="233">
        <v>0</v>
      </c>
      <c r="Q183" s="233">
        <v>0</v>
      </c>
      <c r="R183" s="233">
        <v>0</v>
      </c>
      <c r="S183" s="233">
        <v>0</v>
      </c>
      <c r="T183" s="233">
        <f>+DRA!D25</f>
        <v>516390</v>
      </c>
      <c r="U183" s="233"/>
      <c r="V183" s="233">
        <f t="shared" ref="V183:V186" si="10">SUM(D183:T183)</f>
        <v>516390</v>
      </c>
      <c r="W183" s="39"/>
    </row>
    <row r="184" spans="1:26" x14ac:dyDescent="0.2">
      <c r="A184" s="32" t="s">
        <v>102</v>
      </c>
      <c r="B184" s="33"/>
      <c r="C184" s="29"/>
      <c r="D184" s="233">
        <v>0</v>
      </c>
      <c r="E184" s="233">
        <v>0</v>
      </c>
      <c r="F184" s="233">
        <v>0</v>
      </c>
      <c r="G184" s="233">
        <v>0</v>
      </c>
      <c r="H184" s="233">
        <v>0</v>
      </c>
      <c r="I184" s="233">
        <v>0</v>
      </c>
      <c r="J184" s="233">
        <v>0</v>
      </c>
      <c r="K184" s="233">
        <v>0</v>
      </c>
      <c r="L184" s="233">
        <v>0</v>
      </c>
      <c r="M184" s="233">
        <v>0</v>
      </c>
      <c r="N184" s="233">
        <f>-N181</f>
        <v>-129094</v>
      </c>
      <c r="O184" s="233">
        <v>0</v>
      </c>
      <c r="P184" s="233">
        <v>0</v>
      </c>
      <c r="Q184" s="233">
        <v>0</v>
      </c>
      <c r="R184" s="233">
        <v>0</v>
      </c>
      <c r="S184" s="233"/>
      <c r="T184" s="233">
        <v>0</v>
      </c>
      <c r="U184" s="233"/>
      <c r="V184" s="233">
        <f t="shared" si="10"/>
        <v>-129094</v>
      </c>
      <c r="W184" s="39"/>
    </row>
    <row r="185" spans="1:26" x14ac:dyDescent="0.2">
      <c r="A185" s="32" t="s">
        <v>135</v>
      </c>
      <c r="B185" s="33"/>
      <c r="C185" s="29"/>
      <c r="D185" s="233">
        <v>0</v>
      </c>
      <c r="E185" s="233">
        <v>0</v>
      </c>
      <c r="F185" s="233">
        <v>0</v>
      </c>
      <c r="G185" s="233">
        <v>0</v>
      </c>
      <c r="H185" s="233">
        <v>0</v>
      </c>
      <c r="I185" s="233">
        <v>0</v>
      </c>
      <c r="J185" s="233">
        <v>0</v>
      </c>
      <c r="K185" s="233">
        <v>0</v>
      </c>
      <c r="L185" s="233">
        <v>0</v>
      </c>
      <c r="M185" s="233">
        <v>0</v>
      </c>
      <c r="N185" s="233">
        <v>0</v>
      </c>
      <c r="O185" s="233">
        <v>0</v>
      </c>
      <c r="P185" s="233">
        <v>0</v>
      </c>
      <c r="Q185" s="233">
        <v>0</v>
      </c>
      <c r="R185" s="233">
        <v>0</v>
      </c>
      <c r="S185" s="233"/>
      <c r="T185" s="233">
        <f>+DRA!D17+DRA!D19</f>
        <v>332940.22885000001</v>
      </c>
      <c r="U185" s="233"/>
      <c r="V185" s="233">
        <f t="shared" si="10"/>
        <v>332940.22885000001</v>
      </c>
      <c r="W185" s="39"/>
    </row>
    <row r="186" spans="1:26" x14ac:dyDescent="0.2">
      <c r="A186" s="32" t="s">
        <v>141</v>
      </c>
      <c r="B186" s="33"/>
      <c r="C186" s="29"/>
      <c r="D186" s="233">
        <v>0</v>
      </c>
      <c r="E186" s="233">
        <v>0</v>
      </c>
      <c r="F186" s="233">
        <v>0</v>
      </c>
      <c r="G186" s="233">
        <v>0</v>
      </c>
      <c r="H186" s="233">
        <v>0</v>
      </c>
      <c r="I186" s="233">
        <v>0</v>
      </c>
      <c r="J186" s="233">
        <v>0</v>
      </c>
      <c r="K186" s="233">
        <v>0</v>
      </c>
      <c r="L186" s="233">
        <v>0</v>
      </c>
      <c r="M186" s="233">
        <v>0</v>
      </c>
      <c r="N186" s="233">
        <v>0</v>
      </c>
      <c r="O186" s="233">
        <v>0</v>
      </c>
      <c r="P186" s="233">
        <v>0</v>
      </c>
      <c r="Q186" s="233">
        <v>0</v>
      </c>
      <c r="R186" s="233">
        <f>+DRA!D9</f>
        <v>432029</v>
      </c>
      <c r="S186" s="233">
        <v>0</v>
      </c>
      <c r="T186" s="233">
        <v>0</v>
      </c>
      <c r="U186" s="233"/>
      <c r="V186" s="233">
        <f t="shared" si="10"/>
        <v>432029</v>
      </c>
      <c r="W186" s="39"/>
    </row>
    <row r="187" spans="1:26" ht="6" customHeight="1" x14ac:dyDescent="0.2">
      <c r="A187" s="32"/>
      <c r="B187" s="227"/>
      <c r="C187" s="29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185"/>
      <c r="V187" s="233"/>
      <c r="W187" s="39"/>
    </row>
    <row r="188" spans="1:26" x14ac:dyDescent="0.2">
      <c r="A188" s="268" t="s">
        <v>151</v>
      </c>
      <c r="B188" s="269"/>
      <c r="C188" s="270"/>
      <c r="D188" s="254">
        <f>+SUM(D181:D186)</f>
        <v>3403344</v>
      </c>
      <c r="E188" s="254">
        <f t="shared" ref="E188:V188" si="11">+SUM(E181:E186)</f>
        <v>0</v>
      </c>
      <c r="F188" s="254">
        <f t="shared" si="11"/>
        <v>0</v>
      </c>
      <c r="G188" s="254">
        <f t="shared" si="11"/>
        <v>14302</v>
      </c>
      <c r="H188" s="254">
        <f t="shared" si="11"/>
        <v>14302</v>
      </c>
      <c r="I188" s="254">
        <f t="shared" si="11"/>
        <v>0</v>
      </c>
      <c r="J188" s="254">
        <f t="shared" si="11"/>
        <v>0</v>
      </c>
      <c r="K188" s="254">
        <f t="shared" si="11"/>
        <v>99619</v>
      </c>
      <c r="L188" s="254">
        <f t="shared" si="11"/>
        <v>99619</v>
      </c>
      <c r="M188" s="254">
        <f t="shared" si="11"/>
        <v>129094</v>
      </c>
      <c r="N188" s="277">
        <f t="shared" si="11"/>
        <v>0</v>
      </c>
      <c r="O188" s="254">
        <f t="shared" si="11"/>
        <v>0</v>
      </c>
      <c r="P188" s="254">
        <f t="shared" si="11"/>
        <v>0</v>
      </c>
      <c r="Q188" s="254">
        <f t="shared" si="11"/>
        <v>0</v>
      </c>
      <c r="R188" s="254">
        <f t="shared" si="11"/>
        <v>432029</v>
      </c>
      <c r="S188" s="254">
        <f t="shared" si="11"/>
        <v>-81212</v>
      </c>
      <c r="T188" s="254">
        <f t="shared" si="11"/>
        <v>768118.22885000007</v>
      </c>
      <c r="U188" s="254">
        <f t="shared" si="11"/>
        <v>3565146.8144376897</v>
      </c>
      <c r="V188" s="254">
        <f t="shared" si="11"/>
        <v>4717412.0432876898</v>
      </c>
      <c r="W188" s="39"/>
      <c r="Z188" s="272"/>
    </row>
    <row r="189" spans="1:26" ht="6" customHeight="1" x14ac:dyDescent="0.2">
      <c r="A189" s="262"/>
      <c r="B189" s="263"/>
      <c r="C189" s="264"/>
      <c r="D189" s="265"/>
      <c r="E189" s="266"/>
      <c r="F189" s="265"/>
      <c r="G189" s="266"/>
      <c r="H189" s="265"/>
      <c r="I189" s="266"/>
      <c r="J189" s="265"/>
      <c r="K189" s="266"/>
      <c r="L189" s="265"/>
      <c r="M189" s="266"/>
      <c r="N189" s="265"/>
      <c r="O189" s="266"/>
      <c r="P189" s="265"/>
      <c r="Q189" s="229"/>
      <c r="R189" s="190"/>
      <c r="S189" s="229"/>
      <c r="T189" s="190"/>
      <c r="U189" s="229"/>
      <c r="V189" s="190"/>
      <c r="W189" s="39"/>
    </row>
    <row r="190" spans="1:26" x14ac:dyDescent="0.2">
      <c r="A190" s="109" t="s">
        <v>53</v>
      </c>
      <c r="B190" s="267"/>
      <c r="C190" s="267"/>
      <c r="D190" s="267"/>
      <c r="E190" s="267"/>
      <c r="F190" s="267"/>
      <c r="G190" s="267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39"/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  <headerFooter>
    <oddHeader>&amp;R&amp;"Calibri"&amp;14&amp;K0078D7NP-1&amp;1#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76"/>
  <sheetViews>
    <sheetView showGridLines="0" zoomScale="95" zoomScaleNormal="100" workbookViewId="0">
      <selection activeCell="B3" sqref="B3"/>
    </sheetView>
  </sheetViews>
  <sheetFormatPr defaultColWidth="9.140625" defaultRowHeight="12.75" x14ac:dyDescent="0.2"/>
  <cols>
    <col min="1" max="1" width="2.42578125" style="4" customWidth="1"/>
    <col min="2" max="2" width="61.42578125" style="4" customWidth="1"/>
    <col min="3" max="5" width="11.7109375" style="4" customWidth="1"/>
    <col min="6" max="6" width="13.28515625" style="4" customWidth="1"/>
    <col min="7" max="7" width="16" style="4" bestFit="1" customWidth="1"/>
    <col min="8" max="8" width="12.5703125" style="4" bestFit="1" customWidth="1"/>
    <col min="9" max="9" width="15.140625" style="4" bestFit="1" customWidth="1"/>
    <col min="10" max="10" width="13.140625" style="4" bestFit="1" customWidth="1"/>
    <col min="11" max="11" width="15.140625" style="4" bestFit="1" customWidth="1"/>
    <col min="12" max="12" width="13.140625" style="4" bestFit="1" customWidth="1"/>
    <col min="13" max="16384" width="9.140625" style="4"/>
  </cols>
  <sheetData>
    <row r="1" spans="1:12" ht="21" x14ac:dyDescent="0.35">
      <c r="A1" s="351" t="s">
        <v>238</v>
      </c>
    </row>
    <row r="2" spans="1:12" ht="21" x14ac:dyDescent="0.35">
      <c r="A2" s="351" t="s">
        <v>239</v>
      </c>
    </row>
    <row r="3" spans="1:12" ht="18.75" x14ac:dyDescent="0.3">
      <c r="A3" s="352" t="s">
        <v>245</v>
      </c>
    </row>
    <row r="4" spans="1:12" ht="15" x14ac:dyDescent="0.3">
      <c r="A4" s="355" t="s">
        <v>241</v>
      </c>
    </row>
    <row r="5" spans="1:12" ht="7.5" customHeight="1" x14ac:dyDescent="0.2">
      <c r="G5" s="130"/>
    </row>
    <row r="6" spans="1:12" ht="15" x14ac:dyDescent="0.2">
      <c r="A6" s="278"/>
      <c r="B6" s="278"/>
      <c r="C6" s="279"/>
      <c r="D6" s="280" t="s">
        <v>1</v>
      </c>
      <c r="E6" s="279"/>
      <c r="F6" s="279" t="s">
        <v>2</v>
      </c>
      <c r="G6" s="130"/>
    </row>
    <row r="7" spans="1:12" x14ac:dyDescent="0.2">
      <c r="A7" s="119"/>
      <c r="B7" s="119"/>
      <c r="C7" s="122" t="s">
        <v>5</v>
      </c>
      <c r="D7" s="122" t="s">
        <v>152</v>
      </c>
      <c r="E7" s="122" t="str">
        <f>+C7</f>
        <v>30.09.2020</v>
      </c>
      <c r="F7" s="122" t="str">
        <f>+D7</f>
        <v>30.09.2019</v>
      </c>
      <c r="G7" s="130"/>
    </row>
    <row r="8" spans="1:12" s="45" customFormat="1" ht="9.75" hidden="1" customHeight="1" x14ac:dyDescent="0.2">
      <c r="A8" s="281"/>
      <c r="B8" s="61"/>
      <c r="C8" s="61"/>
      <c r="D8" s="61"/>
      <c r="E8" s="61"/>
      <c r="F8" s="61"/>
      <c r="G8" s="130"/>
    </row>
    <row r="9" spans="1:12" ht="15.75" x14ac:dyDescent="0.2">
      <c r="A9" s="282" t="s">
        <v>153</v>
      </c>
      <c r="B9" s="61"/>
      <c r="C9" s="283"/>
      <c r="D9" s="283"/>
      <c r="E9" s="283"/>
      <c r="F9" s="283"/>
      <c r="G9" s="130"/>
    </row>
    <row r="10" spans="1:12" ht="4.5" customHeight="1" x14ac:dyDescent="0.2">
      <c r="A10" s="284"/>
      <c r="B10" s="61"/>
      <c r="C10" s="283"/>
      <c r="D10" s="283"/>
      <c r="E10" s="283"/>
      <c r="F10" s="283"/>
      <c r="G10" s="130"/>
    </row>
    <row r="11" spans="1:12" x14ac:dyDescent="0.2">
      <c r="B11" s="285" t="s">
        <v>141</v>
      </c>
      <c r="C11" s="286">
        <f>+DRE!E34</f>
        <v>432029</v>
      </c>
      <c r="D11" s="286">
        <f>+DRE!F34</f>
        <v>203203</v>
      </c>
      <c r="E11" s="286">
        <f>+C11</f>
        <v>432029</v>
      </c>
      <c r="F11" s="286">
        <f>+D11</f>
        <v>203203</v>
      </c>
      <c r="G11" s="130"/>
      <c r="H11" s="130"/>
      <c r="I11" s="130">
        <f>+E11-DRE!J34</f>
        <v>0</v>
      </c>
      <c r="J11" s="130">
        <f>+F11-DRE!K34</f>
        <v>0</v>
      </c>
      <c r="K11" s="287"/>
      <c r="L11" s="63"/>
    </row>
    <row r="12" spans="1:12" ht="4.5" customHeight="1" x14ac:dyDescent="0.2">
      <c r="A12" s="288"/>
      <c r="C12" s="235"/>
      <c r="D12" s="235"/>
      <c r="E12" s="235"/>
      <c r="F12" s="235"/>
      <c r="I12" s="287"/>
      <c r="J12" s="287"/>
      <c r="K12" s="287"/>
      <c r="L12" s="63"/>
    </row>
    <row r="13" spans="1:12" ht="14.25" customHeight="1" x14ac:dyDescent="0.2">
      <c r="A13" s="289"/>
      <c r="B13" s="290" t="s">
        <v>154</v>
      </c>
      <c r="C13" s="235"/>
      <c r="D13" s="235"/>
      <c r="E13" s="235"/>
      <c r="F13" s="235"/>
      <c r="I13" s="287"/>
      <c r="J13" s="287"/>
      <c r="K13" s="287"/>
      <c r="L13" s="63"/>
    </row>
    <row r="14" spans="1:12" x14ac:dyDescent="0.2">
      <c r="A14" s="289"/>
      <c r="B14" s="41" t="s">
        <v>155</v>
      </c>
      <c r="C14" s="291">
        <f>-DRE!E31</f>
        <v>330408</v>
      </c>
      <c r="D14" s="291">
        <f>-DRE!F31</f>
        <v>97789</v>
      </c>
      <c r="E14" s="291">
        <f>-DRE!J31</f>
        <v>335399</v>
      </c>
      <c r="F14" s="291">
        <v>94000</v>
      </c>
      <c r="G14" s="130"/>
      <c r="H14" s="130"/>
      <c r="I14" s="130">
        <f>+E14+DRE!L31</f>
        <v>245756</v>
      </c>
      <c r="J14" s="130" t="e">
        <f>+F14+DRE!#REF!</f>
        <v>#REF!</v>
      </c>
      <c r="K14" s="287"/>
      <c r="L14" s="63"/>
    </row>
    <row r="15" spans="1:12" ht="12" customHeight="1" x14ac:dyDescent="0.2">
      <c r="A15" s="292"/>
      <c r="B15" s="41" t="s">
        <v>156</v>
      </c>
      <c r="C15" s="293">
        <f>-DRE!E27</f>
        <v>-95627</v>
      </c>
      <c r="D15" s="293">
        <f>-DRE!F27</f>
        <v>-30281</v>
      </c>
      <c r="E15" s="293">
        <v>0</v>
      </c>
      <c r="F15" s="293">
        <v>0</v>
      </c>
      <c r="G15" s="130"/>
      <c r="H15" s="130"/>
      <c r="I15" s="130">
        <f>+E15+DRE!L27</f>
        <v>0</v>
      </c>
      <c r="J15" s="130" t="e">
        <f>+F15+DRE!#REF!</f>
        <v>#REF!</v>
      </c>
      <c r="K15" s="287"/>
      <c r="L15" s="63"/>
    </row>
    <row r="16" spans="1:12" ht="12" customHeight="1" x14ac:dyDescent="0.2">
      <c r="A16" s="292"/>
      <c r="B16" s="41" t="s">
        <v>157</v>
      </c>
      <c r="C16" s="293">
        <v>831424</v>
      </c>
      <c r="D16" s="291">
        <v>786044</v>
      </c>
      <c r="E16" s="293">
        <v>898509</v>
      </c>
      <c r="F16" s="294">
        <v>874714</v>
      </c>
      <c r="G16" s="130"/>
      <c r="I16" s="287"/>
      <c r="J16" s="287"/>
      <c r="K16" s="287"/>
      <c r="L16" s="63"/>
    </row>
    <row r="17" spans="1:12" ht="12" hidden="1" customHeight="1" x14ac:dyDescent="0.2">
      <c r="A17" s="292"/>
      <c r="B17" s="41" t="s">
        <v>158</v>
      </c>
      <c r="C17" s="293">
        <v>0</v>
      </c>
      <c r="D17" s="291">
        <v>0</v>
      </c>
      <c r="E17" s="293">
        <v>0</v>
      </c>
      <c r="F17" s="294">
        <v>0</v>
      </c>
      <c r="G17" s="130"/>
      <c r="H17" s="130"/>
      <c r="I17" s="130">
        <f>+E17+DRE!L17</f>
        <v>0</v>
      </c>
      <c r="J17" s="130" t="e">
        <f>+F17+DRE!#REF!</f>
        <v>#REF!</v>
      </c>
      <c r="K17" s="287"/>
      <c r="L17" s="63"/>
    </row>
    <row r="18" spans="1:12" ht="12" customHeight="1" x14ac:dyDescent="0.2">
      <c r="A18" s="292"/>
      <c r="B18" s="41" t="s">
        <v>159</v>
      </c>
      <c r="C18" s="293">
        <v>-11267</v>
      </c>
      <c r="D18" s="291">
        <v>142</v>
      </c>
      <c r="E18" s="293">
        <f>+C18</f>
        <v>-11267</v>
      </c>
      <c r="F18" s="294">
        <v>142</v>
      </c>
      <c r="G18" s="130"/>
      <c r="I18" s="287"/>
      <c r="J18" s="287"/>
      <c r="K18" s="287"/>
      <c r="L18" s="63"/>
    </row>
    <row r="19" spans="1:12" ht="12" customHeight="1" x14ac:dyDescent="0.2">
      <c r="A19" s="292"/>
      <c r="B19" s="41" t="s">
        <v>160</v>
      </c>
      <c r="C19" s="293">
        <v>560979</v>
      </c>
      <c r="D19" s="291">
        <v>672180</v>
      </c>
      <c r="E19" s="293">
        <v>560166</v>
      </c>
      <c r="F19" s="294">
        <v>681548</v>
      </c>
      <c r="G19" s="130"/>
      <c r="I19" s="287"/>
      <c r="J19" s="287"/>
      <c r="K19" s="287"/>
      <c r="L19" s="63"/>
    </row>
    <row r="20" spans="1:12" ht="12" customHeight="1" x14ac:dyDescent="0.2">
      <c r="A20" s="292"/>
      <c r="B20" s="41" t="s">
        <v>161</v>
      </c>
      <c r="C20" s="293">
        <v>-33618</v>
      </c>
      <c r="D20" s="291">
        <v>-2290</v>
      </c>
      <c r="E20" s="293">
        <v>-38963</v>
      </c>
      <c r="F20" s="294">
        <v>-2290</v>
      </c>
      <c r="G20" s="130"/>
      <c r="I20" s="287"/>
      <c r="J20" s="287"/>
      <c r="K20" s="287"/>
      <c r="L20" s="63"/>
    </row>
    <row r="21" spans="1:12" ht="12" customHeight="1" x14ac:dyDescent="0.2">
      <c r="A21" s="292"/>
      <c r="B21" s="41" t="s">
        <v>162</v>
      </c>
      <c r="C21" s="293">
        <v>-41136</v>
      </c>
      <c r="D21" s="291">
        <v>-68632</v>
      </c>
      <c r="E21" s="293">
        <v>-41136</v>
      </c>
      <c r="F21" s="291">
        <v>-68632</v>
      </c>
      <c r="G21" s="130"/>
      <c r="I21" s="287"/>
      <c r="J21" s="287"/>
      <c r="K21" s="287"/>
      <c r="L21" s="63"/>
    </row>
    <row r="22" spans="1:12" ht="12" customHeight="1" x14ac:dyDescent="0.2">
      <c r="A22" s="292"/>
      <c r="B22" s="41" t="s">
        <v>163</v>
      </c>
      <c r="C22" s="293">
        <f>-DRE!E32</f>
        <v>-43758</v>
      </c>
      <c r="D22" s="293">
        <v>59235</v>
      </c>
      <c r="E22" s="293">
        <f>-DRE!J32</f>
        <v>-43758</v>
      </c>
      <c r="F22" s="293">
        <v>59235</v>
      </c>
      <c r="G22" s="130"/>
      <c r="H22" s="130"/>
      <c r="I22" s="130">
        <f>+E22+DRE!L32</f>
        <v>4394</v>
      </c>
      <c r="J22" s="130" t="e">
        <f>+F22+DRE!#REF!</f>
        <v>#REF!</v>
      </c>
      <c r="K22" s="287"/>
      <c r="L22" s="63"/>
    </row>
    <row r="23" spans="1:12" ht="11.45" customHeight="1" x14ac:dyDescent="0.2">
      <c r="A23" s="292"/>
      <c r="B23" s="41" t="s">
        <v>164</v>
      </c>
      <c r="C23" s="293">
        <v>52652</v>
      </c>
      <c r="D23" s="291">
        <v>2978</v>
      </c>
      <c r="E23" s="293">
        <v>52652</v>
      </c>
      <c r="F23" s="291">
        <v>2978</v>
      </c>
      <c r="G23" s="130"/>
      <c r="I23" s="287"/>
      <c r="J23" s="287"/>
      <c r="K23" s="287"/>
      <c r="L23" s="63"/>
    </row>
    <row r="24" spans="1:12" ht="12" hidden="1" customHeight="1" x14ac:dyDescent="0.2">
      <c r="A24" s="292"/>
      <c r="B24" s="295" t="s">
        <v>165</v>
      </c>
      <c r="C24" s="296">
        <v>0</v>
      </c>
      <c r="D24" s="294">
        <v>0</v>
      </c>
      <c r="E24" s="296">
        <v>0</v>
      </c>
      <c r="F24" s="294">
        <v>0</v>
      </c>
      <c r="G24" s="130"/>
      <c r="I24" s="287"/>
      <c r="J24" s="287"/>
      <c r="K24" s="287"/>
      <c r="L24" s="63"/>
    </row>
    <row r="25" spans="1:12" ht="12" customHeight="1" x14ac:dyDescent="0.2">
      <c r="A25" s="292"/>
      <c r="B25" s="32" t="s">
        <v>166</v>
      </c>
      <c r="C25" s="296">
        <v>248022</v>
      </c>
      <c r="D25" s="294">
        <v>154115</v>
      </c>
      <c r="E25" s="296">
        <v>248022</v>
      </c>
      <c r="F25" s="294">
        <v>154115</v>
      </c>
      <c r="G25" s="130"/>
      <c r="I25" s="287"/>
      <c r="J25" s="287"/>
      <c r="K25" s="287"/>
      <c r="L25" s="63"/>
    </row>
    <row r="26" spans="1:12" ht="12" customHeight="1" x14ac:dyDescent="0.2">
      <c r="A26" s="292"/>
      <c r="B26" s="32" t="s">
        <v>167</v>
      </c>
      <c r="C26" s="296">
        <f>-2323+50523+3</f>
        <v>48203</v>
      </c>
      <c r="D26" s="294">
        <v>11806</v>
      </c>
      <c r="E26" s="296">
        <f>-10016+50523-2</f>
        <v>40505</v>
      </c>
      <c r="F26" s="294">
        <v>5472</v>
      </c>
      <c r="G26" s="130"/>
      <c r="I26" s="287"/>
      <c r="J26" s="287"/>
      <c r="K26" s="287"/>
      <c r="L26" s="63"/>
    </row>
    <row r="27" spans="1:12" ht="6" customHeight="1" x14ac:dyDescent="0.2">
      <c r="A27" s="288"/>
      <c r="C27" s="294"/>
      <c r="D27" s="294"/>
      <c r="E27" s="294"/>
      <c r="F27" s="294"/>
      <c r="I27" s="287"/>
      <c r="J27" s="287"/>
      <c r="K27" s="287"/>
      <c r="L27" s="63"/>
    </row>
    <row r="28" spans="1:12" ht="12" customHeight="1" x14ac:dyDescent="0.2">
      <c r="A28" s="288"/>
      <c r="B28" s="297" t="s">
        <v>168</v>
      </c>
      <c r="C28" s="294"/>
      <c r="D28" s="294"/>
      <c r="E28" s="294"/>
      <c r="F28" s="294"/>
      <c r="I28" s="287"/>
      <c r="J28" s="287"/>
      <c r="K28" s="287"/>
      <c r="L28" s="63"/>
    </row>
    <row r="29" spans="1:12" ht="12" customHeight="1" x14ac:dyDescent="0.2">
      <c r="A29" s="288"/>
      <c r="B29" s="4" t="s">
        <v>169</v>
      </c>
      <c r="C29" s="294">
        <v>100470</v>
      </c>
      <c r="D29" s="294">
        <v>-177402</v>
      </c>
      <c r="E29" s="291">
        <f>104725+551531</f>
        <v>656256</v>
      </c>
      <c r="F29" s="294">
        <f>-173861+396587</f>
        <v>222726</v>
      </c>
      <c r="G29" s="130"/>
      <c r="H29" s="298"/>
      <c r="I29" s="287"/>
      <c r="J29" s="287"/>
      <c r="K29" s="287"/>
      <c r="L29" s="63"/>
    </row>
    <row r="30" spans="1:12" ht="12" customHeight="1" x14ac:dyDescent="0.25">
      <c r="A30" s="288"/>
      <c r="B30" s="4" t="s">
        <v>170</v>
      </c>
      <c r="C30" s="294">
        <v>-23484</v>
      </c>
      <c r="D30" s="294">
        <v>-8298</v>
      </c>
      <c r="E30" s="294">
        <v>-23484</v>
      </c>
      <c r="F30" s="294">
        <v>-8298</v>
      </c>
      <c r="G30" s="130"/>
      <c r="I30" s="287"/>
      <c r="J30" s="299"/>
      <c r="K30" s="287"/>
      <c r="L30" s="63"/>
    </row>
    <row r="31" spans="1:12" ht="12" customHeight="1" x14ac:dyDescent="0.2">
      <c r="A31" s="288"/>
      <c r="B31" s="4" t="s">
        <v>171</v>
      </c>
      <c r="C31" s="294">
        <v>-5542</v>
      </c>
      <c r="D31" s="294">
        <v>-12245</v>
      </c>
      <c r="E31" s="294">
        <v>-5542</v>
      </c>
      <c r="F31" s="294">
        <v>-12245</v>
      </c>
      <c r="G31" s="130"/>
      <c r="I31" s="287"/>
      <c r="J31" s="287"/>
      <c r="K31" s="287"/>
      <c r="L31" s="63"/>
    </row>
    <row r="32" spans="1:12" ht="12" hidden="1" customHeight="1" x14ac:dyDescent="0.2">
      <c r="A32" s="288"/>
      <c r="B32" s="29" t="s">
        <v>172</v>
      </c>
      <c r="C32" s="294">
        <v>0</v>
      </c>
      <c r="D32" s="294">
        <v>0</v>
      </c>
      <c r="E32" s="294">
        <v>0</v>
      </c>
      <c r="F32" s="294">
        <v>0</v>
      </c>
      <c r="I32" s="287"/>
      <c r="J32" s="287"/>
      <c r="K32" s="287"/>
      <c r="L32" s="63"/>
    </row>
    <row r="33" spans="1:14" ht="12" customHeight="1" x14ac:dyDescent="0.2">
      <c r="A33" s="288"/>
      <c r="B33" s="4" t="s">
        <v>173</v>
      </c>
      <c r="C33" s="291">
        <v>-47918</v>
      </c>
      <c r="D33" s="294">
        <v>-80188</v>
      </c>
      <c r="E33" s="291">
        <f>522896-551531</f>
        <v>-28635</v>
      </c>
      <c r="F33" s="294">
        <f>270229-396587</f>
        <v>-126358</v>
      </c>
      <c r="G33" s="294"/>
      <c r="H33" s="298"/>
      <c r="I33" s="287"/>
      <c r="J33" s="287"/>
      <c r="K33" s="287"/>
      <c r="L33" s="63"/>
    </row>
    <row r="34" spans="1:14" ht="6.75" customHeight="1" x14ac:dyDescent="0.2">
      <c r="A34" s="288"/>
      <c r="C34" s="294"/>
      <c r="D34" s="294"/>
      <c r="E34" s="294"/>
      <c r="F34" s="294"/>
      <c r="I34" s="287"/>
      <c r="J34" s="287"/>
      <c r="K34" s="287"/>
      <c r="L34" s="63"/>
    </row>
    <row r="35" spans="1:14" ht="12" customHeight="1" x14ac:dyDescent="0.2">
      <c r="A35" s="288"/>
      <c r="B35" s="297" t="s">
        <v>174</v>
      </c>
      <c r="C35" s="294"/>
      <c r="D35" s="294"/>
      <c r="E35" s="294"/>
      <c r="F35" s="294"/>
      <c r="I35" s="287"/>
      <c r="J35" s="287"/>
      <c r="K35" s="287"/>
      <c r="L35" s="63"/>
    </row>
    <row r="36" spans="1:14" ht="12" customHeight="1" x14ac:dyDescent="0.2">
      <c r="A36" s="288"/>
      <c r="B36" s="4" t="s">
        <v>175</v>
      </c>
      <c r="C36" s="294">
        <f>17380-14476</f>
        <v>2904</v>
      </c>
      <c r="D36" s="294">
        <v>-323861</v>
      </c>
      <c r="E36" s="294">
        <v>57976</v>
      </c>
      <c r="F36" s="294">
        <v>-267648</v>
      </c>
      <c r="H36" s="130"/>
      <c r="I36" s="287"/>
      <c r="J36" s="287"/>
      <c r="K36" s="287"/>
      <c r="L36" s="63"/>
    </row>
    <row r="37" spans="1:14" ht="12" customHeight="1" x14ac:dyDescent="0.2">
      <c r="A37" s="288"/>
      <c r="B37" s="4" t="s">
        <v>176</v>
      </c>
      <c r="C37" s="294">
        <v>-93556</v>
      </c>
      <c r="D37" s="294">
        <v>-79339</v>
      </c>
      <c r="E37" s="294">
        <v>-91845</v>
      </c>
      <c r="F37" s="294">
        <v>-78121</v>
      </c>
      <c r="I37" s="287"/>
      <c r="J37" s="287"/>
      <c r="K37" s="287"/>
      <c r="L37" s="63"/>
    </row>
    <row r="38" spans="1:14" ht="12" customHeight="1" x14ac:dyDescent="0.2">
      <c r="A38" s="288"/>
      <c r="B38" s="4" t="s">
        <v>177</v>
      </c>
      <c r="C38" s="294">
        <v>-104081</v>
      </c>
      <c r="D38" s="294">
        <v>-3735</v>
      </c>
      <c r="E38" s="294">
        <v>-112764</v>
      </c>
      <c r="F38" s="294">
        <v>-6151</v>
      </c>
      <c r="I38" s="287"/>
      <c r="J38" s="287"/>
      <c r="K38" s="287"/>
      <c r="L38" s="63"/>
    </row>
    <row r="39" spans="1:14" ht="12" customHeight="1" x14ac:dyDescent="0.2">
      <c r="A39" s="288"/>
      <c r="B39" s="4" t="s">
        <v>178</v>
      </c>
      <c r="C39" s="294">
        <f>348494+14476</f>
        <v>362970</v>
      </c>
      <c r="D39" s="294">
        <f>155035+1</f>
        <v>155036</v>
      </c>
      <c r="E39" s="294">
        <v>363014</v>
      </c>
      <c r="F39" s="294">
        <v>154653</v>
      </c>
      <c r="H39" s="130"/>
      <c r="I39" s="287"/>
      <c r="J39" s="287"/>
      <c r="K39" s="287"/>
      <c r="L39" s="63"/>
    </row>
    <row r="40" spans="1:14" ht="9" customHeight="1" x14ac:dyDescent="0.2">
      <c r="A40" s="288"/>
      <c r="C40" s="300"/>
      <c r="D40" s="300"/>
      <c r="E40" s="300"/>
      <c r="F40" s="300"/>
      <c r="I40" s="287"/>
      <c r="J40" s="287"/>
      <c r="K40" s="287"/>
      <c r="L40" s="63"/>
    </row>
    <row r="41" spans="1:14" x14ac:dyDescent="0.2">
      <c r="A41" s="301" t="s">
        <v>179</v>
      </c>
      <c r="B41" s="302"/>
      <c r="C41" s="303">
        <f>SUM(C11:C39)</f>
        <v>2470074</v>
      </c>
      <c r="D41" s="303">
        <f>SUM(D11:D39)</f>
        <v>1356257</v>
      </c>
      <c r="E41" s="303">
        <f>SUM(E11:E39)</f>
        <v>3247134</v>
      </c>
      <c r="F41" s="303">
        <f>SUM(F11:F39)</f>
        <v>1883043</v>
      </c>
      <c r="G41" s="294"/>
      <c r="H41" s="108"/>
    </row>
    <row r="42" spans="1:14" x14ac:dyDescent="0.2">
      <c r="G42" s="108"/>
    </row>
    <row r="43" spans="1:14" ht="12" customHeight="1" x14ac:dyDescent="0.2">
      <c r="A43" s="126" t="s">
        <v>180</v>
      </c>
      <c r="C43" s="304"/>
      <c r="D43" s="304"/>
      <c r="E43" s="304"/>
      <c r="F43" s="304"/>
      <c r="I43" s="287"/>
      <c r="J43" s="287"/>
      <c r="K43" s="287"/>
      <c r="L43" s="39"/>
    </row>
    <row r="44" spans="1:14" ht="12" customHeight="1" x14ac:dyDescent="0.2">
      <c r="A44" s="292"/>
      <c r="B44" s="32" t="s">
        <v>181</v>
      </c>
      <c r="C44" s="130">
        <v>-196009</v>
      </c>
      <c r="D44" s="130">
        <v>-418755</v>
      </c>
      <c r="E44" s="130">
        <v>-200348</v>
      </c>
      <c r="F44" s="130">
        <v>-454989</v>
      </c>
      <c r="I44" s="287"/>
      <c r="J44" s="287"/>
      <c r="K44" s="287"/>
      <c r="L44" s="63"/>
    </row>
    <row r="45" spans="1:14" ht="12" customHeight="1" x14ac:dyDescent="0.2">
      <c r="A45" s="292"/>
      <c r="B45" s="32" t="s">
        <v>11</v>
      </c>
      <c r="C45" s="130">
        <v>-32940</v>
      </c>
      <c r="D45" s="130">
        <v>-554535</v>
      </c>
      <c r="E45" s="130">
        <v>-32940</v>
      </c>
      <c r="F45" s="130">
        <v>-554535</v>
      </c>
      <c r="I45" s="287"/>
      <c r="J45" s="287"/>
      <c r="K45" s="287"/>
      <c r="L45" s="63"/>
      <c r="N45" s="174"/>
    </row>
    <row r="46" spans="1:14" ht="12" customHeight="1" x14ac:dyDescent="0.2">
      <c r="A46" s="292"/>
      <c r="B46" s="4" t="s">
        <v>182</v>
      </c>
      <c r="C46" s="130">
        <v>68997</v>
      </c>
      <c r="D46" s="130">
        <v>0</v>
      </c>
      <c r="E46" s="130">
        <v>68997</v>
      </c>
      <c r="F46" s="130">
        <v>0</v>
      </c>
      <c r="G46" s="32"/>
      <c r="I46" s="287"/>
      <c r="J46" s="287"/>
      <c r="K46" s="287"/>
      <c r="L46" s="63"/>
      <c r="N46" s="174"/>
    </row>
    <row r="47" spans="1:14" ht="6" customHeight="1" x14ac:dyDescent="0.2">
      <c r="B47" s="32"/>
      <c r="C47" s="305"/>
      <c r="D47" s="305"/>
      <c r="E47" s="305"/>
      <c r="F47" s="305"/>
      <c r="G47" s="32"/>
      <c r="I47" s="287"/>
      <c r="J47" s="287"/>
      <c r="K47" s="287"/>
      <c r="L47" s="63"/>
      <c r="N47" s="306"/>
    </row>
    <row r="48" spans="1:14" ht="12" customHeight="1" x14ac:dyDescent="0.2">
      <c r="A48" s="301" t="s">
        <v>183</v>
      </c>
      <c r="B48" s="302"/>
      <c r="C48" s="307">
        <f>SUM(C44:C47)</f>
        <v>-159952</v>
      </c>
      <c r="D48" s="307">
        <f t="shared" ref="D48:F48" si="0">SUM(D44:D47)</f>
        <v>-973290</v>
      </c>
      <c r="E48" s="307">
        <f t="shared" si="0"/>
        <v>-164291</v>
      </c>
      <c r="F48" s="307">
        <f t="shared" si="0"/>
        <v>-1009524</v>
      </c>
      <c r="G48" s="32"/>
      <c r="I48" s="287"/>
      <c r="J48" s="287"/>
      <c r="K48" s="287"/>
      <c r="L48" s="63"/>
      <c r="N48" s="174"/>
    </row>
    <row r="49" spans="1:15" ht="6.75" customHeight="1" x14ac:dyDescent="0.2">
      <c r="A49" s="288"/>
      <c r="C49" s="308"/>
      <c r="D49" s="308"/>
      <c r="E49" s="308"/>
      <c r="F49" s="308"/>
      <c r="I49" s="287"/>
      <c r="J49" s="287"/>
      <c r="K49" s="287"/>
      <c r="L49" s="63"/>
    </row>
    <row r="50" spans="1:15" ht="12" customHeight="1" x14ac:dyDescent="0.2">
      <c r="A50" s="126" t="s">
        <v>184</v>
      </c>
      <c r="C50" s="304"/>
      <c r="D50" s="304"/>
      <c r="E50" s="304"/>
      <c r="F50" s="304"/>
      <c r="I50" s="287"/>
      <c r="J50" s="287"/>
      <c r="K50" s="287"/>
      <c r="L50" s="39"/>
    </row>
    <row r="51" spans="1:15" ht="12" customHeight="1" x14ac:dyDescent="0.2">
      <c r="A51" s="292"/>
      <c r="B51" s="32" t="s">
        <v>185</v>
      </c>
      <c r="C51" s="130">
        <v>0</v>
      </c>
      <c r="D51" s="130">
        <v>694381</v>
      </c>
      <c r="E51" s="130">
        <v>0</v>
      </c>
      <c r="F51" s="130">
        <v>694381</v>
      </c>
      <c r="I51" s="287"/>
      <c r="J51" s="287"/>
      <c r="K51" s="287"/>
      <c r="L51" s="63"/>
      <c r="O51" s="63"/>
    </row>
    <row r="52" spans="1:15" ht="12" customHeight="1" x14ac:dyDescent="0.2">
      <c r="A52" s="292"/>
      <c r="B52" s="32" t="s">
        <v>186</v>
      </c>
      <c r="C52" s="130">
        <v>-895313</v>
      </c>
      <c r="D52" s="130">
        <v>-214414</v>
      </c>
      <c r="E52" s="130">
        <v>-895313</v>
      </c>
      <c r="F52" s="130">
        <v>-214414</v>
      </c>
      <c r="I52" s="287"/>
      <c r="J52" s="287"/>
      <c r="K52" s="287"/>
      <c r="L52" s="63"/>
      <c r="O52" s="63"/>
    </row>
    <row r="53" spans="1:15" ht="12" customHeight="1" x14ac:dyDescent="0.2">
      <c r="A53" s="292"/>
      <c r="B53" s="32" t="s">
        <v>187</v>
      </c>
      <c r="C53" s="130">
        <v>-458386</v>
      </c>
      <c r="D53" s="130">
        <v>-280936</v>
      </c>
      <c r="E53" s="130">
        <v>-458386</v>
      </c>
      <c r="F53" s="130">
        <v>-280936</v>
      </c>
      <c r="I53" s="287"/>
      <c r="J53" s="287"/>
      <c r="K53" s="287"/>
      <c r="L53" s="63"/>
      <c r="O53" s="63"/>
    </row>
    <row r="54" spans="1:15" ht="12" customHeight="1" x14ac:dyDescent="0.2">
      <c r="A54" s="292"/>
      <c r="B54" s="29" t="s">
        <v>188</v>
      </c>
      <c r="C54" s="130">
        <v>-784780</v>
      </c>
      <c r="D54" s="130">
        <f>-562834-27379</f>
        <v>-590213</v>
      </c>
      <c r="E54" s="130">
        <v>-1328594</v>
      </c>
      <c r="F54" s="130">
        <f>-562834-419171</f>
        <v>-982005</v>
      </c>
      <c r="I54" s="287"/>
      <c r="J54" s="287"/>
      <c r="K54" s="287"/>
      <c r="L54" s="63"/>
      <c r="O54" s="63"/>
    </row>
    <row r="55" spans="1:15" x14ac:dyDescent="0.2">
      <c r="A55" s="292"/>
      <c r="B55" s="32" t="s">
        <v>189</v>
      </c>
      <c r="C55" s="130">
        <v>-174186</v>
      </c>
      <c r="D55" s="130">
        <v>0</v>
      </c>
      <c r="E55" s="130">
        <v>-174185</v>
      </c>
      <c r="F55" s="130">
        <v>0</v>
      </c>
      <c r="G55" s="32"/>
      <c r="I55" s="287"/>
      <c r="J55" s="287"/>
      <c r="K55" s="287"/>
      <c r="L55" s="63"/>
      <c r="O55" s="63"/>
    </row>
    <row r="56" spans="1:15" ht="6" customHeight="1" x14ac:dyDescent="0.2">
      <c r="B56" s="32"/>
      <c r="C56" s="305"/>
      <c r="D56" s="305"/>
      <c r="E56" s="305"/>
      <c r="F56" s="305"/>
      <c r="G56" s="32"/>
      <c r="I56" s="287"/>
      <c r="J56" s="287"/>
      <c r="K56" s="287"/>
      <c r="L56" s="63"/>
      <c r="N56" s="306"/>
    </row>
    <row r="57" spans="1:15" ht="12" customHeight="1" x14ac:dyDescent="0.2">
      <c r="A57" s="301" t="s">
        <v>190</v>
      </c>
      <c r="B57" s="302"/>
      <c r="C57" s="307">
        <f>SUM(C51:C55)</f>
        <v>-2312665</v>
      </c>
      <c r="D57" s="307">
        <f>SUM(D51:D55)</f>
        <v>-391182</v>
      </c>
      <c r="E57" s="307">
        <f>SUM(E51:E55)</f>
        <v>-2856478</v>
      </c>
      <c r="F57" s="307">
        <f>SUM(F51:F55)</f>
        <v>-782974</v>
      </c>
      <c r="I57" s="287"/>
      <c r="J57" s="287"/>
      <c r="K57" s="287"/>
      <c r="L57" s="39"/>
      <c r="N57" s="63"/>
      <c r="O57" s="63"/>
    </row>
    <row r="58" spans="1:15" ht="6.75" customHeight="1" x14ac:dyDescent="0.2"/>
    <row r="59" spans="1:15" x14ac:dyDescent="0.2">
      <c r="A59" s="309" t="s">
        <v>191</v>
      </c>
      <c r="B59" s="32"/>
      <c r="C59" s="308">
        <v>0</v>
      </c>
      <c r="D59" s="308">
        <v>0</v>
      </c>
      <c r="E59" s="130">
        <v>379845</v>
      </c>
      <c r="F59" s="130">
        <v>61434</v>
      </c>
    </row>
    <row r="60" spans="1:15" ht="6.75" customHeight="1" x14ac:dyDescent="0.2"/>
    <row r="61" spans="1:15" ht="12.75" customHeight="1" x14ac:dyDescent="0.2">
      <c r="A61" s="301" t="s">
        <v>192</v>
      </c>
      <c r="B61" s="302"/>
      <c r="C61" s="307">
        <f>+C41+C48+C57+C59</f>
        <v>-2543</v>
      </c>
      <c r="D61" s="307">
        <f>+D41+D48+D57+D59</f>
        <v>-8215</v>
      </c>
      <c r="E61" s="307">
        <f>+E41+E48+E57+E59</f>
        <v>606210</v>
      </c>
      <c r="F61" s="307">
        <f>+F41+F48+F57+F59</f>
        <v>151979</v>
      </c>
      <c r="I61" s="287"/>
      <c r="J61" s="287"/>
      <c r="K61" s="287"/>
      <c r="L61" s="39"/>
    </row>
    <row r="62" spans="1:15" ht="6.75" customHeight="1" x14ac:dyDescent="0.2"/>
    <row r="63" spans="1:15" x14ac:dyDescent="0.2">
      <c r="A63" s="32" t="s">
        <v>193</v>
      </c>
      <c r="B63" s="32"/>
      <c r="C63" s="130">
        <f>+BP!E10</f>
        <v>102117</v>
      </c>
      <c r="D63" s="130">
        <v>94464</v>
      </c>
      <c r="E63" s="130">
        <f>+BP!G10</f>
        <v>988690</v>
      </c>
      <c r="F63" s="130">
        <v>850578</v>
      </c>
    </row>
    <row r="64" spans="1:15" ht="6.75" customHeight="1" x14ac:dyDescent="0.2">
      <c r="K64" s="4" t="s">
        <v>194</v>
      </c>
    </row>
    <row r="65" spans="1:12" x14ac:dyDescent="0.2">
      <c r="A65" s="310" t="s">
        <v>195</v>
      </c>
      <c r="B65" s="311"/>
      <c r="C65" s="312">
        <f>+C61+C63</f>
        <v>99574</v>
      </c>
      <c r="D65" s="312">
        <f t="shared" ref="D65:F65" si="1">+D61+D63</f>
        <v>86249</v>
      </c>
      <c r="E65" s="312">
        <f t="shared" si="1"/>
        <v>1594900</v>
      </c>
      <c r="F65" s="312">
        <f t="shared" si="1"/>
        <v>1002557</v>
      </c>
    </row>
    <row r="66" spans="1:12" ht="7.5" customHeight="1" x14ac:dyDescent="0.2">
      <c r="C66" s="129"/>
      <c r="D66" s="129"/>
      <c r="E66" s="129"/>
      <c r="F66" s="129"/>
    </row>
    <row r="67" spans="1:12" ht="12" hidden="1" customHeight="1" x14ac:dyDescent="0.2">
      <c r="A67" s="126" t="s">
        <v>196</v>
      </c>
      <c r="C67" s="313"/>
      <c r="D67" s="313"/>
      <c r="E67" s="313"/>
      <c r="F67" s="313"/>
      <c r="G67" s="227"/>
      <c r="H67" s="314"/>
      <c r="I67" s="315"/>
      <c r="J67" s="315"/>
      <c r="K67" s="315"/>
      <c r="L67" s="315"/>
    </row>
    <row r="68" spans="1:12" hidden="1" x14ac:dyDescent="0.2">
      <c r="A68" s="316" t="s">
        <v>197</v>
      </c>
      <c r="B68" s="317"/>
      <c r="C68" s="318">
        <v>7234</v>
      </c>
      <c r="D68" s="318">
        <v>20038</v>
      </c>
      <c r="E68" s="318">
        <v>7234</v>
      </c>
      <c r="F68" s="318">
        <v>20038</v>
      </c>
    </row>
    <row r="69" spans="1:12" hidden="1" x14ac:dyDescent="0.2">
      <c r="B69" s="4" t="s">
        <v>198</v>
      </c>
      <c r="C69" s="319"/>
      <c r="D69" s="319"/>
      <c r="E69" s="319"/>
      <c r="F69" s="319"/>
    </row>
    <row r="70" spans="1:12" hidden="1" x14ac:dyDescent="0.2">
      <c r="A70" s="211"/>
      <c r="B70" s="211"/>
      <c r="C70" s="320"/>
      <c r="D70" s="320"/>
      <c r="E70" s="320"/>
      <c r="F70" s="320"/>
    </row>
    <row r="71" spans="1:12" x14ac:dyDescent="0.2">
      <c r="A71" s="109" t="s">
        <v>53</v>
      </c>
      <c r="B71" s="210"/>
      <c r="C71" s="210"/>
      <c r="D71" s="210"/>
      <c r="E71" s="210"/>
      <c r="F71" s="210"/>
    </row>
    <row r="72" spans="1:12" x14ac:dyDescent="0.2">
      <c r="C72" s="63"/>
      <c r="D72" s="39"/>
      <c r="E72" s="63"/>
      <c r="F72" s="39"/>
    </row>
    <row r="73" spans="1:12" x14ac:dyDescent="0.2">
      <c r="C73" s="108"/>
      <c r="E73" s="108"/>
    </row>
    <row r="74" spans="1:12" x14ac:dyDescent="0.2">
      <c r="C74" s="130"/>
      <c r="E74" s="130"/>
    </row>
    <row r="75" spans="1:12" x14ac:dyDescent="0.2">
      <c r="C75" s="130"/>
      <c r="D75" s="130"/>
      <c r="E75" s="130"/>
      <c r="F75" s="130"/>
    </row>
    <row r="76" spans="1:12" x14ac:dyDescent="0.2">
      <c r="C76" s="130"/>
      <c r="D76" s="130"/>
      <c r="E76" s="130"/>
      <c r="F76" s="130"/>
    </row>
  </sheetData>
  <pageMargins left="0.51181102362204722" right="0.51181102362204722" top="0.78740157480314965" bottom="0.78740157480314965" header="0.31496062992125984" footer="0.31496062992125984"/>
  <pageSetup paperSize="9" scale="50" orientation="portrait" r:id="rId1"/>
  <headerFooter>
    <oddHeader>&amp;R&amp;"Calibri"&amp;14&amp;K0078D7NP-1&amp;1#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68"/>
  <sheetViews>
    <sheetView showGridLines="0" workbookViewId="0"/>
  </sheetViews>
  <sheetFormatPr defaultColWidth="9.140625" defaultRowHeight="12.75" x14ac:dyDescent="0.2"/>
  <cols>
    <col min="1" max="1" width="2.28515625" style="4" customWidth="1"/>
    <col min="2" max="2" width="50.28515625" style="4" customWidth="1"/>
    <col min="3" max="6" width="12.7109375" style="4" customWidth="1"/>
    <col min="7" max="7" width="12.42578125" style="321" bestFit="1" customWidth="1"/>
    <col min="8" max="10" width="16.5703125" style="108" customWidth="1"/>
    <col min="11" max="11" width="17.7109375" style="108" customWidth="1"/>
    <col min="12" max="14" width="13.140625" style="4" bestFit="1" customWidth="1"/>
    <col min="15" max="15" width="14.140625" style="4" bestFit="1" customWidth="1"/>
    <col min="16" max="16384" width="9.140625" style="4"/>
  </cols>
  <sheetData>
    <row r="1" spans="1:15" ht="21" x14ac:dyDescent="0.35">
      <c r="A1" s="351" t="s">
        <v>238</v>
      </c>
    </row>
    <row r="2" spans="1:15" ht="21" x14ac:dyDescent="0.35">
      <c r="A2" s="351" t="s">
        <v>239</v>
      </c>
    </row>
    <row r="3" spans="1:15" ht="18.75" x14ac:dyDescent="0.3">
      <c r="A3" s="352" t="s">
        <v>246</v>
      </c>
    </row>
    <row r="4" spans="1:15" ht="15" x14ac:dyDescent="0.35">
      <c r="A4" s="356" t="s">
        <v>241</v>
      </c>
    </row>
    <row r="5" spans="1:15" ht="7.5" customHeight="1" x14ac:dyDescent="0.2">
      <c r="A5" s="1"/>
      <c r="B5" s="1"/>
      <c r="C5" s="1"/>
      <c r="D5" s="1"/>
      <c r="E5" s="1"/>
      <c r="F5" s="1"/>
    </row>
    <row r="6" spans="1:15" ht="15" x14ac:dyDescent="0.2">
      <c r="C6" s="11"/>
      <c r="D6" s="11" t="s">
        <v>1</v>
      </c>
      <c r="E6" s="11"/>
      <c r="F6" s="11" t="s">
        <v>2</v>
      </c>
    </row>
    <row r="7" spans="1:15" ht="14.25" customHeight="1" x14ac:dyDescent="0.2">
      <c r="A7" s="317"/>
      <c r="B7" s="317"/>
      <c r="C7" s="122" t="s">
        <v>5</v>
      </c>
      <c r="D7" s="122" t="s">
        <v>152</v>
      </c>
      <c r="E7" s="122" t="str">
        <f>+C7</f>
        <v>30.09.2020</v>
      </c>
      <c r="F7" s="122" t="str">
        <f>+D7</f>
        <v>30.09.2019</v>
      </c>
    </row>
    <row r="8" spans="1:15" ht="3" customHeight="1" x14ac:dyDescent="0.2">
      <c r="C8" s="124"/>
      <c r="D8" s="124"/>
      <c r="E8" s="124"/>
      <c r="F8" s="124"/>
    </row>
    <row r="9" spans="1:15" ht="12" customHeight="1" x14ac:dyDescent="0.2">
      <c r="A9" s="126" t="s">
        <v>199</v>
      </c>
      <c r="C9" s="227"/>
      <c r="D9" s="227"/>
      <c r="E9" s="227"/>
      <c r="F9" s="227"/>
    </row>
    <row r="10" spans="1:15" ht="12" customHeight="1" x14ac:dyDescent="0.2">
      <c r="B10" s="32" t="s">
        <v>200</v>
      </c>
      <c r="C10" s="300">
        <v>6599081</v>
      </c>
      <c r="D10" s="300">
        <v>6279521</v>
      </c>
      <c r="E10" s="300">
        <v>7061411</v>
      </c>
      <c r="F10" s="300">
        <v>6649600</v>
      </c>
      <c r="L10" s="108"/>
      <c r="M10" s="108"/>
      <c r="N10" s="108"/>
      <c r="O10" s="108"/>
    </row>
    <row r="11" spans="1:15" ht="12" customHeight="1" x14ac:dyDescent="0.2">
      <c r="B11" s="32" t="s">
        <v>201</v>
      </c>
      <c r="C11" s="300">
        <v>100239</v>
      </c>
      <c r="D11" s="300">
        <v>57674</v>
      </c>
      <c r="E11" s="300">
        <v>94492</v>
      </c>
      <c r="F11" s="300">
        <v>67383</v>
      </c>
      <c r="L11" s="108"/>
      <c r="M11" s="108"/>
      <c r="N11" s="108"/>
      <c r="O11" s="108"/>
    </row>
    <row r="12" spans="1:15" ht="12" customHeight="1" x14ac:dyDescent="0.2">
      <c r="B12" s="32" t="s">
        <v>202</v>
      </c>
      <c r="C12" s="300">
        <v>189784</v>
      </c>
      <c r="D12" s="300">
        <v>722130</v>
      </c>
      <c r="E12" s="300">
        <v>194124</v>
      </c>
      <c r="F12" s="300">
        <v>758364</v>
      </c>
      <c r="L12" s="108"/>
      <c r="M12" s="108"/>
      <c r="N12" s="108"/>
      <c r="O12" s="108"/>
    </row>
    <row r="13" spans="1:15" ht="12" customHeight="1" x14ac:dyDescent="0.2">
      <c r="A13" s="322"/>
      <c r="B13" s="323" t="s">
        <v>203</v>
      </c>
      <c r="C13" s="324">
        <v>-50523</v>
      </c>
      <c r="D13" s="324"/>
      <c r="E13" s="324">
        <v>-50523</v>
      </c>
      <c r="F13" s="325"/>
      <c r="L13" s="108"/>
      <c r="M13" s="108"/>
      <c r="N13" s="108"/>
      <c r="O13" s="108"/>
    </row>
    <row r="14" spans="1:15" ht="12" customHeight="1" x14ac:dyDescent="0.2">
      <c r="A14" s="3"/>
      <c r="B14" s="326"/>
      <c r="C14" s="327">
        <f>+SUM(C10:C13)</f>
        <v>6838581</v>
      </c>
      <c r="D14" s="327">
        <f>SUM(D10:D13)</f>
        <v>7059325</v>
      </c>
      <c r="E14" s="327">
        <f>SUM(E10:E13)</f>
        <v>7299504</v>
      </c>
      <c r="F14" s="327">
        <f>SUM(F10:F13)</f>
        <v>7475347</v>
      </c>
      <c r="L14" s="108"/>
      <c r="M14" s="108"/>
      <c r="N14" s="108"/>
      <c r="O14" s="108"/>
    </row>
    <row r="15" spans="1:15" ht="24.75" customHeight="1" x14ac:dyDescent="0.2">
      <c r="A15" s="126" t="s">
        <v>204</v>
      </c>
      <c r="C15" s="300"/>
      <c r="D15" s="300"/>
      <c r="E15" s="300"/>
      <c r="F15" s="300"/>
      <c r="L15" s="108"/>
      <c r="M15" s="108"/>
      <c r="N15" s="108"/>
      <c r="O15" s="108"/>
    </row>
    <row r="16" spans="1:15" ht="12" customHeight="1" x14ac:dyDescent="0.2">
      <c r="B16" s="32" t="s">
        <v>205</v>
      </c>
      <c r="C16" s="300">
        <v>-787194</v>
      </c>
      <c r="D16" s="300">
        <v>-838610</v>
      </c>
      <c r="E16" s="300">
        <v>-991877</v>
      </c>
      <c r="F16" s="300">
        <v>-999033</v>
      </c>
      <c r="G16" s="328"/>
      <c r="L16" s="108"/>
      <c r="M16" s="108"/>
      <c r="N16" s="108"/>
      <c r="O16" s="108"/>
    </row>
    <row r="17" spans="1:15" ht="12" customHeight="1" x14ac:dyDescent="0.2">
      <c r="B17" s="32" t="s">
        <v>206</v>
      </c>
      <c r="C17" s="300">
        <v>-172516</v>
      </c>
      <c r="D17" s="300">
        <v>-184521</v>
      </c>
      <c r="E17" s="300">
        <v>-191554</v>
      </c>
      <c r="F17" s="300">
        <v>-203689</v>
      </c>
      <c r="G17" s="328"/>
      <c r="L17" s="108"/>
      <c r="M17" s="108"/>
      <c r="N17" s="108"/>
      <c r="O17" s="108"/>
    </row>
    <row r="18" spans="1:15" ht="12" customHeight="1" x14ac:dyDescent="0.2">
      <c r="A18" s="288"/>
      <c r="B18" s="32" t="s">
        <v>207</v>
      </c>
      <c r="C18" s="300">
        <v>-638991</v>
      </c>
      <c r="D18" s="300">
        <v>-1145127</v>
      </c>
      <c r="E18" s="300">
        <v>-651173</v>
      </c>
      <c r="F18" s="300">
        <v>-1186301</v>
      </c>
      <c r="G18" s="328"/>
      <c r="L18" s="108"/>
      <c r="M18" s="108"/>
      <c r="N18" s="108"/>
      <c r="O18" s="108"/>
    </row>
    <row r="19" spans="1:15" ht="12" customHeight="1" x14ac:dyDescent="0.2">
      <c r="A19" s="288"/>
      <c r="B19" s="32" t="s">
        <v>208</v>
      </c>
      <c r="C19" s="300">
        <v>-6306</v>
      </c>
      <c r="D19" s="300">
        <v>-6604</v>
      </c>
      <c r="E19" s="300">
        <v>-6306</v>
      </c>
      <c r="F19" s="300">
        <v>-6604</v>
      </c>
      <c r="G19" s="328"/>
      <c r="L19" s="108"/>
      <c r="M19" s="108"/>
      <c r="N19" s="108"/>
      <c r="O19" s="108"/>
    </row>
    <row r="20" spans="1:15" ht="12" customHeight="1" x14ac:dyDescent="0.2">
      <c r="A20" s="322"/>
      <c r="B20" s="323" t="s">
        <v>209</v>
      </c>
      <c r="C20" s="324">
        <v>-101128</v>
      </c>
      <c r="D20" s="324">
        <v>-94150</v>
      </c>
      <c r="E20" s="324">
        <v>-101128</v>
      </c>
      <c r="F20" s="324">
        <v>-94150</v>
      </c>
      <c r="L20" s="108"/>
      <c r="M20" s="108"/>
      <c r="N20" s="108"/>
      <c r="O20" s="108"/>
    </row>
    <row r="21" spans="1:15" ht="12" hidden="1" customHeight="1" x14ac:dyDescent="0.2">
      <c r="A21" s="1"/>
      <c r="B21" s="329" t="s">
        <v>210</v>
      </c>
      <c r="C21" s="324"/>
      <c r="D21" s="324"/>
      <c r="E21" s="324"/>
      <c r="F21" s="324"/>
      <c r="G21" s="328"/>
      <c r="L21" s="108"/>
      <c r="M21" s="108"/>
      <c r="N21" s="108"/>
      <c r="O21" s="108"/>
    </row>
    <row r="22" spans="1:15" ht="12" customHeight="1" x14ac:dyDescent="0.2">
      <c r="A22" s="3"/>
      <c r="B22" s="152"/>
      <c r="C22" s="327">
        <f>SUM(C16:C21)</f>
        <v>-1706135</v>
      </c>
      <c r="D22" s="327">
        <f>SUM(D16:D21)</f>
        <v>-2269012</v>
      </c>
      <c r="E22" s="327">
        <f>SUM(E16:E21)</f>
        <v>-1942038</v>
      </c>
      <c r="F22" s="327">
        <f>SUM(F16:F21)</f>
        <v>-2489777</v>
      </c>
      <c r="L22" s="108"/>
      <c r="M22" s="108"/>
      <c r="N22" s="108"/>
      <c r="O22" s="108"/>
    </row>
    <row r="23" spans="1:15" ht="12" customHeight="1" x14ac:dyDescent="0.2">
      <c r="A23" s="1"/>
      <c r="B23" s="329"/>
      <c r="C23" s="330"/>
      <c r="D23" s="330"/>
      <c r="E23" s="330"/>
      <c r="F23" s="330"/>
      <c r="L23" s="108"/>
      <c r="M23" s="108"/>
      <c r="N23" s="108"/>
      <c r="O23" s="108"/>
    </row>
    <row r="24" spans="1:15" ht="12" customHeight="1" x14ac:dyDescent="0.2">
      <c r="A24" s="268" t="s">
        <v>211</v>
      </c>
      <c r="B24" s="214"/>
      <c r="C24" s="331">
        <f>+C14+C22</f>
        <v>5132446</v>
      </c>
      <c r="D24" s="331">
        <f>+D14+D22</f>
        <v>4790313</v>
      </c>
      <c r="E24" s="331">
        <f>+E14+E22</f>
        <v>5357466</v>
      </c>
      <c r="F24" s="331">
        <f>+F14+F22</f>
        <v>4985570</v>
      </c>
      <c r="L24" s="108"/>
      <c r="M24" s="108"/>
      <c r="N24" s="108"/>
      <c r="O24" s="108"/>
    </row>
    <row r="25" spans="1:15" ht="12" customHeight="1" x14ac:dyDescent="0.2">
      <c r="A25" s="30"/>
      <c r="C25" s="332"/>
      <c r="D25" s="332"/>
      <c r="E25" s="332"/>
      <c r="F25" s="332"/>
      <c r="L25" s="108"/>
      <c r="M25" s="108"/>
      <c r="N25" s="108"/>
      <c r="O25" s="108"/>
    </row>
    <row r="26" spans="1:15" ht="12" customHeight="1" x14ac:dyDescent="0.2">
      <c r="B26" s="32" t="s">
        <v>212</v>
      </c>
      <c r="C26" s="300">
        <f>-FXC!C16</f>
        <v>-831424</v>
      </c>
      <c r="D26" s="300">
        <f>-FXC!D16</f>
        <v>-786044</v>
      </c>
      <c r="E26" s="300">
        <f>-FXC!E16</f>
        <v>-898509</v>
      </c>
      <c r="F26" s="300">
        <f>-FXC!F16</f>
        <v>-874714</v>
      </c>
      <c r="G26" s="321" t="s">
        <v>213</v>
      </c>
      <c r="L26" s="108"/>
      <c r="M26" s="108"/>
      <c r="N26" s="108"/>
      <c r="O26" s="108"/>
    </row>
    <row r="27" spans="1:15" ht="12" customHeight="1" x14ac:dyDescent="0.2">
      <c r="A27" s="1"/>
      <c r="B27" s="1"/>
      <c r="C27" s="330"/>
      <c r="D27" s="330"/>
      <c r="E27" s="330"/>
      <c r="F27" s="330"/>
      <c r="L27" s="108"/>
      <c r="M27" s="108"/>
      <c r="N27" s="108"/>
      <c r="O27" s="108"/>
    </row>
    <row r="28" spans="1:15" ht="12" customHeight="1" x14ac:dyDescent="0.2">
      <c r="A28" s="268" t="s">
        <v>214</v>
      </c>
      <c r="B28" s="214"/>
      <c r="C28" s="331">
        <f>+C24+C26</f>
        <v>4301022</v>
      </c>
      <c r="D28" s="331">
        <f>+D24+D26</f>
        <v>4004269</v>
      </c>
      <c r="E28" s="331">
        <f>+E24+E26</f>
        <v>4458957</v>
      </c>
      <c r="F28" s="331">
        <f>+F24+F26</f>
        <v>4110856</v>
      </c>
      <c r="L28" s="108"/>
      <c r="M28" s="108"/>
      <c r="N28" s="108"/>
      <c r="O28" s="108"/>
    </row>
    <row r="29" spans="1:15" ht="10.5" customHeight="1" x14ac:dyDescent="0.2">
      <c r="C29" s="300"/>
      <c r="D29" s="300"/>
      <c r="E29" s="300"/>
      <c r="F29" s="300"/>
      <c r="L29" s="108"/>
      <c r="M29" s="108"/>
      <c r="N29" s="108"/>
      <c r="O29" s="108"/>
    </row>
    <row r="30" spans="1:15" ht="12" customHeight="1" x14ac:dyDescent="0.2">
      <c r="A30" s="126" t="s">
        <v>215</v>
      </c>
      <c r="C30" s="300"/>
      <c r="D30" s="300"/>
      <c r="E30" s="300"/>
      <c r="F30" s="300"/>
      <c r="L30" s="108"/>
      <c r="M30" s="108"/>
      <c r="N30" s="108"/>
      <c r="O30" s="108"/>
    </row>
    <row r="31" spans="1:15" ht="12" customHeight="1" x14ac:dyDescent="0.2">
      <c r="B31" s="32" t="s">
        <v>75</v>
      </c>
      <c r="C31" s="300">
        <v>95627</v>
      </c>
      <c r="D31" s="300">
        <v>30281</v>
      </c>
      <c r="E31" s="333">
        <v>0</v>
      </c>
      <c r="F31" s="333">
        <v>0</v>
      </c>
      <c r="G31" s="321" t="s">
        <v>213</v>
      </c>
      <c r="L31" s="108"/>
      <c r="M31" s="108"/>
      <c r="N31" s="108"/>
      <c r="O31" s="108"/>
    </row>
    <row r="32" spans="1:15" ht="12" customHeight="1" x14ac:dyDescent="0.2">
      <c r="A32" s="48"/>
      <c r="B32" s="334" t="s">
        <v>216</v>
      </c>
      <c r="C32" s="335">
        <v>100591</v>
      </c>
      <c r="D32" s="335">
        <v>112522</v>
      </c>
      <c r="E32" s="335">
        <v>220991</v>
      </c>
      <c r="F32" s="335">
        <v>213958</v>
      </c>
      <c r="L32" s="108"/>
      <c r="M32" s="108"/>
      <c r="N32" s="108"/>
      <c r="O32" s="108"/>
    </row>
    <row r="33" spans="1:15" ht="12" customHeight="1" x14ac:dyDescent="0.2">
      <c r="C33" s="327">
        <f>SUM(C31:C32)</f>
        <v>196218</v>
      </c>
      <c r="D33" s="327">
        <f>SUM(D31:D32)</f>
        <v>142803</v>
      </c>
      <c r="E33" s="327">
        <f>SUM(E31:E32)</f>
        <v>220991</v>
      </c>
      <c r="F33" s="327">
        <f>SUM(F31:F32)</f>
        <v>213958</v>
      </c>
      <c r="L33" s="108"/>
      <c r="M33" s="108"/>
      <c r="N33" s="108"/>
      <c r="O33" s="108"/>
    </row>
    <row r="34" spans="1:15" ht="12" customHeight="1" x14ac:dyDescent="0.2">
      <c r="A34" s="1"/>
      <c r="B34" s="1"/>
      <c r="C34" s="330"/>
      <c r="D34" s="330"/>
      <c r="E34" s="330"/>
      <c r="F34" s="330"/>
      <c r="L34" s="108"/>
      <c r="M34" s="108"/>
      <c r="N34" s="108"/>
      <c r="O34" s="108"/>
    </row>
    <row r="35" spans="1:15" ht="12.75" customHeight="1" x14ac:dyDescent="0.2">
      <c r="A35" s="336" t="s">
        <v>217</v>
      </c>
      <c r="B35" s="337"/>
      <c r="C35" s="338">
        <f>+C28+C33</f>
        <v>4497240</v>
      </c>
      <c r="D35" s="338">
        <f>+D28+D33</f>
        <v>4147072</v>
      </c>
      <c r="E35" s="338">
        <f>+E28+E33</f>
        <v>4679948</v>
      </c>
      <c r="F35" s="339">
        <f>+F28+F33</f>
        <v>4324814</v>
      </c>
      <c r="L35" s="108"/>
      <c r="M35" s="108"/>
      <c r="N35" s="108"/>
      <c r="O35" s="108"/>
    </row>
    <row r="36" spans="1:15" ht="7.5" customHeight="1" x14ac:dyDescent="0.2">
      <c r="C36" s="300"/>
      <c r="D36" s="300"/>
      <c r="E36" s="300"/>
      <c r="F36" s="300"/>
      <c r="L36" s="108"/>
      <c r="M36" s="108"/>
      <c r="N36" s="108"/>
      <c r="O36" s="108"/>
    </row>
    <row r="37" spans="1:15" ht="12" customHeight="1" x14ac:dyDescent="0.2">
      <c r="A37" s="126" t="s">
        <v>218</v>
      </c>
      <c r="C37" s="300"/>
      <c r="D37" s="300"/>
      <c r="E37" s="300"/>
      <c r="F37" s="300"/>
      <c r="G37" s="340"/>
      <c r="L37" s="108"/>
      <c r="M37" s="108"/>
      <c r="N37" s="108"/>
      <c r="O37" s="108"/>
    </row>
    <row r="38" spans="1:15" ht="3" customHeight="1" x14ac:dyDescent="0.2">
      <c r="B38" s="32"/>
      <c r="C38" s="130"/>
      <c r="D38" s="130"/>
      <c r="E38" s="341"/>
      <c r="F38" s="341"/>
      <c r="L38" s="108"/>
      <c r="M38" s="108"/>
      <c r="N38" s="108"/>
      <c r="O38" s="108"/>
    </row>
    <row r="39" spans="1:15" ht="3" customHeight="1" x14ac:dyDescent="0.2">
      <c r="B39" s="32"/>
      <c r="C39" s="130"/>
      <c r="D39" s="130"/>
      <c r="E39" s="341"/>
      <c r="F39" s="341"/>
      <c r="L39" s="108"/>
      <c r="M39" s="108"/>
      <c r="N39" s="108"/>
      <c r="O39" s="108"/>
    </row>
    <row r="40" spans="1:15" ht="12" customHeight="1" x14ac:dyDescent="0.2">
      <c r="B40" s="32" t="s">
        <v>219</v>
      </c>
      <c r="C40" s="300">
        <f>1092235+6807</f>
        <v>1099042</v>
      </c>
      <c r="D40" s="300">
        <f>814234+367856+8445</f>
        <v>1190535</v>
      </c>
      <c r="E40" s="300">
        <f>1139652+6807</f>
        <v>1146459</v>
      </c>
      <c r="F40" s="300">
        <f>861073+8445+368720</f>
        <v>1238238</v>
      </c>
      <c r="L40" s="108"/>
      <c r="M40" s="108"/>
      <c r="N40" s="108"/>
      <c r="O40" s="108"/>
    </row>
    <row r="41" spans="1:15" ht="12" customHeight="1" x14ac:dyDescent="0.2">
      <c r="B41" s="32" t="s">
        <v>220</v>
      </c>
      <c r="C41" s="300">
        <v>55568</v>
      </c>
      <c r="D41" s="300">
        <v>110874</v>
      </c>
      <c r="E41" s="300">
        <v>55568</v>
      </c>
      <c r="F41" s="300">
        <v>110874</v>
      </c>
      <c r="G41" s="321" t="s">
        <v>213</v>
      </c>
      <c r="L41" s="108"/>
      <c r="M41" s="108"/>
      <c r="N41" s="108"/>
      <c r="O41" s="108"/>
    </row>
    <row r="42" spans="1:15" ht="12" customHeight="1" x14ac:dyDescent="0.2">
      <c r="B42" s="32" t="s">
        <v>221</v>
      </c>
      <c r="C42" s="300">
        <v>69000</v>
      </c>
      <c r="D42" s="130">
        <v>67263</v>
      </c>
      <c r="E42" s="300">
        <v>69000</v>
      </c>
      <c r="F42" s="130">
        <v>67263</v>
      </c>
      <c r="G42" s="321" t="s">
        <v>213</v>
      </c>
      <c r="L42" s="108"/>
      <c r="M42" s="108"/>
      <c r="N42" s="108"/>
      <c r="O42" s="108"/>
    </row>
    <row r="43" spans="1:15" ht="12" hidden="1" customHeight="1" x14ac:dyDescent="0.2">
      <c r="B43" s="32" t="s">
        <v>222</v>
      </c>
      <c r="C43" s="333">
        <v>0</v>
      </c>
      <c r="D43" s="300"/>
      <c r="E43" s="333">
        <v>0</v>
      </c>
      <c r="F43" s="300"/>
      <c r="L43" s="108"/>
      <c r="M43" s="108"/>
      <c r="N43" s="108"/>
      <c r="O43" s="108"/>
    </row>
    <row r="44" spans="1:15" ht="12" customHeight="1" x14ac:dyDescent="0.2">
      <c r="A44" s="288"/>
      <c r="B44" s="32" t="s">
        <v>223</v>
      </c>
      <c r="C44" s="300">
        <v>297694</v>
      </c>
      <c r="D44" s="300">
        <v>129941</v>
      </c>
      <c r="E44" s="300">
        <v>298252</v>
      </c>
      <c r="F44" s="300">
        <v>130277</v>
      </c>
      <c r="L44" s="108"/>
      <c r="M44" s="108"/>
      <c r="N44" s="108"/>
      <c r="O44" s="108"/>
    </row>
    <row r="45" spans="1:15" ht="12" customHeight="1" x14ac:dyDescent="0.2">
      <c r="B45" s="32" t="s">
        <v>224</v>
      </c>
      <c r="C45" s="300">
        <v>102527</v>
      </c>
      <c r="D45" s="300">
        <v>99939</v>
      </c>
      <c r="E45" s="300">
        <v>102527</v>
      </c>
      <c r="F45" s="300">
        <v>100590</v>
      </c>
      <c r="L45" s="108"/>
      <c r="M45" s="108"/>
      <c r="N45" s="108"/>
      <c r="O45" s="108"/>
    </row>
    <row r="46" spans="1:15" ht="12" customHeight="1" x14ac:dyDescent="0.2">
      <c r="B46" s="32" t="s">
        <v>225</v>
      </c>
      <c r="C46" s="300">
        <v>226509</v>
      </c>
      <c r="D46" s="300">
        <v>161525</v>
      </c>
      <c r="E46" s="300">
        <v>233454</v>
      </c>
      <c r="F46" s="300">
        <v>166516</v>
      </c>
      <c r="L46" s="108"/>
      <c r="M46" s="108"/>
      <c r="N46" s="108"/>
      <c r="O46" s="108"/>
    </row>
    <row r="47" spans="1:15" ht="12" customHeight="1" x14ac:dyDescent="0.2">
      <c r="A47" s="1"/>
      <c r="B47" s="329" t="s">
        <v>226</v>
      </c>
      <c r="C47" s="324">
        <v>66914</v>
      </c>
      <c r="D47" s="324">
        <v>56889</v>
      </c>
      <c r="E47" s="324">
        <v>66981</v>
      </c>
      <c r="F47" s="324">
        <v>56906</v>
      </c>
      <c r="L47" s="108"/>
      <c r="M47" s="108"/>
      <c r="N47" s="108"/>
      <c r="O47" s="108"/>
    </row>
    <row r="48" spans="1:15" ht="12" customHeight="1" x14ac:dyDescent="0.2">
      <c r="C48" s="327">
        <f>SUM(C40:C47)</f>
        <v>1917254</v>
      </c>
      <c r="D48" s="327">
        <f>SUM(D40:D47)</f>
        <v>1816966</v>
      </c>
      <c r="E48" s="327">
        <f>SUM(E40:E47)</f>
        <v>1972241</v>
      </c>
      <c r="F48" s="327">
        <f>SUM(F40:F47)</f>
        <v>1870664</v>
      </c>
      <c r="L48" s="108"/>
      <c r="M48" s="108"/>
      <c r="N48" s="108"/>
      <c r="O48" s="108"/>
    </row>
    <row r="49" spans="1:15" ht="12" customHeight="1" x14ac:dyDescent="0.2">
      <c r="A49" s="126" t="s">
        <v>227</v>
      </c>
      <c r="C49" s="332"/>
      <c r="D49" s="332"/>
      <c r="E49" s="332"/>
      <c r="F49" s="332"/>
      <c r="L49" s="108"/>
      <c r="M49" s="108"/>
      <c r="N49" s="108"/>
      <c r="O49" s="108"/>
    </row>
    <row r="50" spans="1:15" ht="12" customHeight="1" x14ac:dyDescent="0.2">
      <c r="B50" s="41" t="s">
        <v>228</v>
      </c>
      <c r="C50" s="333">
        <v>1080252</v>
      </c>
      <c r="D50" s="333">
        <v>846664</v>
      </c>
      <c r="E50" s="333">
        <v>1085517</v>
      </c>
      <c r="F50" s="300">
        <v>843087</v>
      </c>
      <c r="L50" s="108"/>
      <c r="M50" s="108"/>
      <c r="N50" s="108"/>
      <c r="O50" s="108"/>
    </row>
    <row r="51" spans="1:15" ht="12" customHeight="1" x14ac:dyDescent="0.2">
      <c r="B51" s="41" t="s">
        <v>229</v>
      </c>
      <c r="C51" s="333">
        <v>241249</v>
      </c>
      <c r="D51" s="333">
        <v>231191</v>
      </c>
      <c r="E51" s="333">
        <v>241249</v>
      </c>
      <c r="F51" s="300">
        <v>231191</v>
      </c>
      <c r="L51" s="108"/>
      <c r="M51" s="108"/>
      <c r="N51" s="108"/>
      <c r="O51" s="108"/>
    </row>
    <row r="52" spans="1:15" ht="12" customHeight="1" x14ac:dyDescent="0.2">
      <c r="B52" s="41" t="s">
        <v>230</v>
      </c>
      <c r="C52" s="333">
        <v>211292</v>
      </c>
      <c r="D52" s="333">
        <v>184495</v>
      </c>
      <c r="E52" s="333">
        <v>211292</v>
      </c>
      <c r="F52" s="300">
        <v>184495</v>
      </c>
      <c r="L52" s="108"/>
      <c r="M52" s="108"/>
      <c r="N52" s="108"/>
      <c r="O52" s="108"/>
    </row>
    <row r="53" spans="1:15" x14ac:dyDescent="0.2">
      <c r="A53" s="322"/>
      <c r="B53" s="342" t="s">
        <v>231</v>
      </c>
      <c r="C53" s="335">
        <v>-43758</v>
      </c>
      <c r="D53" s="335">
        <v>59235</v>
      </c>
      <c r="E53" s="335">
        <v>-43758</v>
      </c>
      <c r="F53" s="335">
        <v>59235</v>
      </c>
      <c r="L53" s="108"/>
      <c r="M53" s="108"/>
      <c r="N53" s="108"/>
      <c r="O53" s="108"/>
    </row>
    <row r="54" spans="1:15" ht="12" customHeight="1" x14ac:dyDescent="0.2">
      <c r="B54" s="45"/>
      <c r="C54" s="343">
        <f>SUM(C50:C53)</f>
        <v>1489035</v>
      </c>
      <c r="D54" s="343">
        <f>SUM(D50:D53)</f>
        <v>1321585</v>
      </c>
      <c r="E54" s="343">
        <f>SUM(E50:E53)</f>
        <v>1494300</v>
      </c>
      <c r="F54" s="327">
        <f>SUM(F50:F53)</f>
        <v>1318008</v>
      </c>
      <c r="L54" s="108"/>
      <c r="M54" s="108"/>
      <c r="N54" s="108"/>
      <c r="O54" s="108"/>
    </row>
    <row r="55" spans="1:15" ht="12" customHeight="1" x14ac:dyDescent="0.2">
      <c r="A55" s="126" t="s">
        <v>232</v>
      </c>
      <c r="C55" s="332"/>
      <c r="D55" s="332"/>
      <c r="E55" s="332"/>
      <c r="F55" s="332"/>
      <c r="H55" s="321"/>
      <c r="J55" s="321"/>
      <c r="L55" s="321"/>
      <c r="M55" s="108"/>
      <c r="N55" s="108"/>
      <c r="O55" s="108"/>
    </row>
    <row r="56" spans="1:15" x14ac:dyDescent="0.2">
      <c r="A56" s="1"/>
      <c r="B56" s="329" t="s">
        <v>233</v>
      </c>
      <c r="C56" s="324">
        <v>658922</v>
      </c>
      <c r="D56" s="324">
        <v>805318</v>
      </c>
      <c r="E56" s="324">
        <v>781378</v>
      </c>
      <c r="F56" s="324">
        <v>932939</v>
      </c>
      <c r="H56" s="344"/>
      <c r="J56" s="321"/>
      <c r="L56" s="321"/>
      <c r="M56" s="108"/>
      <c r="N56" s="108"/>
      <c r="O56" s="108"/>
    </row>
    <row r="57" spans="1:15" x14ac:dyDescent="0.2">
      <c r="C57" s="327">
        <f>+C56</f>
        <v>658922</v>
      </c>
      <c r="D57" s="327">
        <f>+D56</f>
        <v>805318</v>
      </c>
      <c r="E57" s="327">
        <f>+E56</f>
        <v>781378</v>
      </c>
      <c r="F57" s="327">
        <f>+F56</f>
        <v>932939</v>
      </c>
      <c r="H57" s="321"/>
      <c r="J57" s="321"/>
      <c r="L57" s="321"/>
      <c r="M57" s="108"/>
      <c r="N57" s="108"/>
      <c r="O57" s="108"/>
    </row>
    <row r="58" spans="1:15" x14ac:dyDescent="0.2">
      <c r="A58" s="126" t="s">
        <v>234</v>
      </c>
      <c r="C58" s="300"/>
      <c r="D58" s="300"/>
      <c r="E58" s="300"/>
      <c r="F58" s="300"/>
      <c r="H58" s="321"/>
      <c r="J58" s="321"/>
      <c r="L58" s="321"/>
      <c r="M58" s="108"/>
      <c r="N58" s="108"/>
      <c r="O58" s="108"/>
    </row>
    <row r="59" spans="1:15" x14ac:dyDescent="0.2">
      <c r="A59" s="1"/>
      <c r="B59" s="329" t="s">
        <v>235</v>
      </c>
      <c r="C59" s="324">
        <f>+DRE!E34</f>
        <v>432029</v>
      </c>
      <c r="D59" s="324">
        <f>+DRE!F34</f>
        <v>203203</v>
      </c>
      <c r="E59" s="324">
        <f>+C59</f>
        <v>432029</v>
      </c>
      <c r="F59" s="324">
        <f>+D59</f>
        <v>203203</v>
      </c>
      <c r="G59" s="321" t="s">
        <v>213</v>
      </c>
      <c r="L59" s="108"/>
      <c r="M59" s="108"/>
      <c r="N59" s="108"/>
      <c r="O59" s="108"/>
    </row>
    <row r="60" spans="1:15" hidden="1" x14ac:dyDescent="0.2">
      <c r="A60" s="322"/>
      <c r="B60" s="329" t="s">
        <v>236</v>
      </c>
      <c r="C60" s="324"/>
      <c r="D60" s="330"/>
      <c r="E60" s="324"/>
      <c r="F60" s="330">
        <v>0</v>
      </c>
      <c r="L60" s="108"/>
      <c r="M60" s="108"/>
      <c r="N60" s="108"/>
      <c r="O60" s="108"/>
    </row>
    <row r="61" spans="1:15" ht="12" customHeight="1" x14ac:dyDescent="0.2">
      <c r="B61" s="32"/>
      <c r="C61" s="327">
        <f>SUM(C59:C60)</f>
        <v>432029</v>
      </c>
      <c r="D61" s="327">
        <f>+D59</f>
        <v>203203</v>
      </c>
      <c r="E61" s="327">
        <f>SUM(E59:E60)</f>
        <v>432029</v>
      </c>
      <c r="F61" s="327">
        <f>+F59</f>
        <v>203203</v>
      </c>
      <c r="L61" s="108"/>
      <c r="M61" s="108"/>
      <c r="N61" s="108"/>
      <c r="O61" s="108"/>
    </row>
    <row r="62" spans="1:15" ht="4.5" customHeight="1" x14ac:dyDescent="0.2">
      <c r="A62" s="1"/>
      <c r="B62" s="1"/>
      <c r="C62" s="330"/>
      <c r="D62" s="330"/>
      <c r="E62" s="330"/>
      <c r="F62" s="330"/>
      <c r="L62" s="108"/>
      <c r="M62" s="108"/>
      <c r="N62" s="108"/>
      <c r="O62" s="108"/>
    </row>
    <row r="63" spans="1:15" x14ac:dyDescent="0.2">
      <c r="A63" s="345" t="s">
        <v>237</v>
      </c>
      <c r="B63" s="337"/>
      <c r="C63" s="338">
        <f>+C48+C54+C57+C61</f>
        <v>4497240</v>
      </c>
      <c r="D63" s="338">
        <f>+D48+D54+D57+D61</f>
        <v>4147072</v>
      </c>
      <c r="E63" s="338">
        <f>+E48+E54+E57+E61</f>
        <v>4679948</v>
      </c>
      <c r="F63" s="338">
        <f>+F48+F54+F57+F61</f>
        <v>4324814</v>
      </c>
      <c r="L63" s="108"/>
      <c r="M63" s="108"/>
      <c r="N63" s="108"/>
      <c r="O63" s="108"/>
    </row>
    <row r="64" spans="1:15" ht="6" customHeight="1" x14ac:dyDescent="0.2">
      <c r="A64" s="211"/>
      <c r="B64" s="211"/>
      <c r="C64" s="346"/>
      <c r="D64" s="346"/>
      <c r="E64" s="346"/>
      <c r="F64" s="346"/>
    </row>
    <row r="65" spans="1:11" s="112" customFormat="1" ht="12" x14ac:dyDescent="0.2">
      <c r="A65" s="109" t="s">
        <v>53</v>
      </c>
      <c r="B65" s="267"/>
      <c r="C65" s="267"/>
      <c r="D65" s="347"/>
      <c r="E65" s="347"/>
      <c r="F65" s="347"/>
      <c r="G65" s="348"/>
      <c r="H65" s="349"/>
      <c r="I65" s="349"/>
      <c r="J65" s="349"/>
      <c r="K65" s="349"/>
    </row>
    <row r="66" spans="1:11" x14ac:dyDescent="0.2">
      <c r="E66" s="350"/>
    </row>
    <row r="67" spans="1:11" x14ac:dyDescent="0.2">
      <c r="C67" s="315">
        <f>+C35-C63</f>
        <v>0</v>
      </c>
      <c r="D67" s="315">
        <f>+D35-D63</f>
        <v>0</v>
      </c>
      <c r="E67" s="315">
        <f>+E35-E63</f>
        <v>0</v>
      </c>
      <c r="F67" s="315">
        <f>+F35-F63</f>
        <v>0</v>
      </c>
    </row>
    <row r="68" spans="1:11" x14ac:dyDescent="0.2">
      <c r="E68" s="350"/>
    </row>
  </sheetData>
  <pageMargins left="0.51181102362204722" right="0.51181102362204722" top="0.78740157480314965" bottom="0.78740157480314965" header="0.31496062992125984" footer="0.31496062992125984"/>
  <pageSetup paperSize="9" scale="79" orientation="portrait" r:id="rId1"/>
  <headerFooter>
    <oddHeader>&amp;R&amp;"Calibri"&amp;14&amp;K0078D7NP-1&amp;1#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BP</vt:lpstr>
      <vt:lpstr>DRE</vt:lpstr>
      <vt:lpstr>DRA</vt:lpstr>
      <vt:lpstr>DMPL</vt:lpstr>
      <vt:lpstr>FXC</vt:lpstr>
      <vt:lpstr>DVA</vt:lpstr>
      <vt:lpstr>BP!Area_de_impressao</vt:lpstr>
      <vt:lpstr>DRE!Area_de_impressao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Polycarpo Junior</dc:creator>
  <cp:lastModifiedBy>Walter Polycarpo Junior</cp:lastModifiedBy>
  <dcterms:created xsi:type="dcterms:W3CDTF">2020-11-03T11:28:30Z</dcterms:created>
  <dcterms:modified xsi:type="dcterms:W3CDTF">2020-11-03T11:41:11Z</dcterms:modified>
</cp:coreProperties>
</file>